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worksheets/sheet4.xml" ContentType="application/vnd.openxmlformats-officedocument.spreadsheetml.worksheet+xml"/>
  <Override PartName="/xl/drawings/drawing3.xml" ContentType="application/vnd.openxmlformats-officedocument.drawing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Proforma" sheetId="2" state="visible" r:id="rId2"/>
    <sheet xmlns:r="http://schemas.openxmlformats.org/officeDocument/2006/relationships" name="Cash Flow" sheetId="3" state="visible" r:id="rId3"/>
    <sheet xmlns:r="http://schemas.openxmlformats.org/officeDocument/2006/relationships" name="Timing" sheetId="4" state="visible" r:id="rId4"/>
    <sheet xmlns:r="http://schemas.openxmlformats.org/officeDocument/2006/relationships" name="Sensitivity" sheetId="5" state="visible" r:id="rId5"/>
    <sheet xmlns:r="http://schemas.openxmlformats.org/officeDocument/2006/relationships" name="Sources &amp; Uses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_($* #,##0_);_($* (#,##0);_($* &quot;-&quot;_);_(@_)"/>
    <numFmt numFmtId="165" formatCode="0.0%"/>
    <numFmt numFmtId="166" formatCode="0.00&quot;x&quot;"/>
  </numFmts>
  <fonts count="14">
    <font>
      <name val="Calibri"/>
      <family val="2"/>
      <color theme="1"/>
      <sz val="11"/>
      <scheme val="minor"/>
    </font>
    <font>
      <name val="Calibri"/>
      <b val="1"/>
      <color rgb="00FFFFFF"/>
      <sz val="20"/>
    </font>
    <font>
      <name val="Calibri"/>
      <i val="1"/>
      <color rgb="00D9E1EC"/>
      <sz val="11"/>
    </font>
    <font>
      <name val="Calibri"/>
      <b val="1"/>
      <color rgb="00FFFFFF"/>
      <sz val="12"/>
    </font>
    <font>
      <name val="Calibri"/>
      <b val="1"/>
      <color rgb="001A1A1A"/>
      <sz val="10"/>
    </font>
    <font>
      <name val="Calibri"/>
      <color rgb="001A1A1A"/>
      <sz val="10"/>
    </font>
    <font>
      <name val="Calibri"/>
      <b val="1"/>
      <color rgb="006B4E00"/>
      <sz val="11"/>
    </font>
    <font>
      <name val="Calibri"/>
      <i val="1"/>
      <color rgb="006B7280"/>
      <sz val="9"/>
    </font>
    <font>
      <name val="Calibri"/>
      <b val="1"/>
      <color rgb="000F2E4F"/>
      <sz val="11"/>
    </font>
    <font>
      <name val="Calibri"/>
      <b val="1"/>
      <color rgb="00FFFFFF"/>
      <sz val="9"/>
    </font>
    <font>
      <name val="Calibri"/>
      <b val="1"/>
      <color rgb="000F2E4F"/>
      <sz val="13"/>
    </font>
    <font>
      <name val="Calibri"/>
      <b val="1"/>
      <color rgb="00FFFFFF"/>
      <sz val="11"/>
    </font>
    <font>
      <b val="1"/>
      <color rgb="00FFFFFF"/>
    </font>
    <font>
      <name val="Calibri"/>
      <b val="1"/>
      <color rgb="000F2E4F"/>
      <sz val="14"/>
    </font>
  </fonts>
  <fills count="9">
    <fill>
      <patternFill/>
    </fill>
    <fill>
      <patternFill patternType="gray125"/>
    </fill>
    <fill>
      <patternFill patternType="solid">
        <fgColor rgb="000F2E4F"/>
      </patternFill>
    </fill>
    <fill>
      <patternFill patternType="solid">
        <fgColor rgb="001C4E80"/>
      </patternFill>
    </fill>
    <fill>
      <patternFill patternType="solid">
        <fgColor rgb="00E3E8EF"/>
      </patternFill>
    </fill>
    <fill>
      <patternFill patternType="solid">
        <fgColor rgb="00FFF6CC"/>
      </patternFill>
    </fill>
    <fill>
      <patternFill patternType="solid">
        <fgColor rgb="00F5ECC9"/>
      </patternFill>
    </fill>
    <fill>
      <patternFill patternType="solid">
        <fgColor rgb="00F2F4F7"/>
      </patternFill>
    </fill>
    <fill>
      <patternFill patternType="solid">
        <fgColor rgb="00E8F5E9"/>
      </patternFill>
    </fill>
  </fills>
  <borders count="3">
    <border>
      <left/>
      <right/>
      <top/>
      <bottom/>
      <diagonal/>
    </border>
    <border>
      <left style="thin">
        <color rgb="00B6C0CC"/>
      </left>
      <right style="thin">
        <color rgb="00B6C0CC"/>
      </right>
      <top style="thin">
        <color rgb="00B6C0CC"/>
      </top>
      <bottom style="thin">
        <color rgb="00B6C0CC"/>
      </bottom>
    </border>
    <border>
      <left style="thin">
        <color rgb="00BFA23A"/>
      </left>
      <right style="thin">
        <color rgb="00BFA23A"/>
      </right>
      <top style="thin">
        <color rgb="00BFA23A"/>
      </top>
      <bottom style="thin">
        <color rgb="00BFA23A"/>
      </bottom>
    </border>
  </borders>
  <cellStyleXfs count="1">
    <xf numFmtId="0" fontId="0" fillId="0" borderId="0"/>
  </cellStyleXfs>
  <cellXfs count="53">
    <xf numFmtId="0" fontId="0" fillId="0" borderId="0" pivotButton="0" quotePrefix="0" xfId="0"/>
    <xf numFmtId="0" fontId="1" fillId="2" borderId="0" applyAlignment="1" pivotButton="0" quotePrefix="0" xfId="0">
      <alignment horizontal="left" vertical="center" wrapText="1"/>
    </xf>
    <xf numFmtId="0" fontId="0" fillId="2" borderId="0" pivotButton="0" quotePrefix="0" xfId="0"/>
    <xf numFmtId="0" fontId="2" fillId="2" borderId="0" applyAlignment="1" pivotButton="0" quotePrefix="0" xfId="0">
      <alignment horizontal="left" vertical="center" wrapText="1"/>
    </xf>
    <xf numFmtId="0" fontId="3" fillId="3" borderId="0" applyAlignment="1" pivotButton="0" quotePrefix="0" xfId="0">
      <alignment horizontal="left" vertical="center" wrapText="1"/>
    </xf>
    <xf numFmtId="0" fontId="0" fillId="3" borderId="0" pivotButton="0" quotePrefix="0" xfId="0"/>
    <xf numFmtId="0" fontId="4" fillId="4" borderId="1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center" vertical="center" wrapText="1"/>
    </xf>
    <xf numFmtId="0" fontId="9" fillId="2" borderId="1" applyAlignment="1" pivotButton="0" quotePrefix="0" xfId="0">
      <alignment horizontal="left" vertical="center" wrapText="1"/>
    </xf>
    <xf numFmtId="164" fontId="10" fillId="6" borderId="1" applyAlignment="1" pivotButton="0" quotePrefix="0" xfId="0">
      <alignment horizontal="right" vertical="center"/>
    </xf>
    <xf numFmtId="0" fontId="5" fillId="0" borderId="0" applyAlignment="1" pivotButton="0" quotePrefix="0" xfId="0">
      <alignment horizontal="left" vertical="center" wrapText="1"/>
    </xf>
    <xf numFmtId="164" fontId="6" fillId="5" borderId="2" applyAlignment="1" pivotButton="0" quotePrefix="0" xfId="0">
      <alignment horizontal="right" vertical="center"/>
    </xf>
    <xf numFmtId="3" fontId="6" fillId="5" borderId="2" applyAlignment="1" pivotButton="0" quotePrefix="0" xfId="0">
      <alignment horizontal="right" vertical="center"/>
    </xf>
    <xf numFmtId="165" fontId="10" fillId="6" borderId="1" applyAlignment="1" pivotButton="0" quotePrefix="0" xfId="0">
      <alignment horizontal="right" vertical="center"/>
    </xf>
    <xf numFmtId="0" fontId="4" fillId="0" borderId="0" applyAlignment="1" pivotButton="0" quotePrefix="0" xfId="0">
      <alignment horizontal="left" vertical="center" wrapText="1"/>
    </xf>
    <xf numFmtId="164" fontId="6" fillId="6" borderId="2" applyAlignment="1" pivotButton="0" quotePrefix="0" xfId="0">
      <alignment horizontal="right" vertical="center"/>
    </xf>
    <xf numFmtId="0" fontId="7" fillId="0" borderId="0" applyAlignment="1" pivotButton="0" quotePrefix="0" xfId="0">
      <alignment horizontal="left" vertical="center" wrapText="1"/>
    </xf>
    <xf numFmtId="166" fontId="10" fillId="6" borderId="1" applyAlignment="1" pivotButton="0" quotePrefix="0" xfId="0">
      <alignment horizontal="right" vertical="center"/>
    </xf>
    <xf numFmtId="9" fontId="6" fillId="5" borderId="2" applyAlignment="1" pivotButton="0" quotePrefix="0" xfId="0">
      <alignment horizontal="right" vertical="center"/>
    </xf>
    <xf numFmtId="165" fontId="6" fillId="5" borderId="2" applyAlignment="1" pivotButton="0" quotePrefix="0" xfId="0">
      <alignment horizontal="right" vertical="center"/>
    </xf>
    <xf numFmtId="0" fontId="11" fillId="2" borderId="1" applyAlignment="1" pivotButton="0" quotePrefix="0" xfId="0">
      <alignment horizontal="center" vertical="center" wrapText="1"/>
    </xf>
    <xf numFmtId="0" fontId="4" fillId="7" borderId="1" applyAlignment="1" pivotButton="0" quotePrefix="0" xfId="0">
      <alignment horizontal="left" vertical="center" wrapText="1"/>
    </xf>
    <xf numFmtId="164" fontId="8" fillId="0" borderId="1" applyAlignment="1" pivotButton="0" quotePrefix="0" xfId="0">
      <alignment horizontal="right" vertical="center"/>
    </xf>
    <xf numFmtId="164" fontId="0" fillId="0" borderId="1" applyAlignment="1" pivotButton="0" quotePrefix="0" xfId="0">
      <alignment horizontal="right" vertical="center"/>
    </xf>
    <xf numFmtId="164" fontId="5" fillId="0" borderId="1" applyAlignment="1" pivotButton="0" quotePrefix="0" xfId="0">
      <alignment horizontal="right" vertical="center"/>
    </xf>
    <xf numFmtId="165" fontId="8" fillId="0" borderId="1" applyAlignment="1" pivotButton="0" quotePrefix="0" xfId="0">
      <alignment horizontal="right" vertical="center"/>
    </xf>
    <xf numFmtId="165" fontId="0" fillId="0" borderId="1" applyAlignment="1" pivotButton="0" quotePrefix="0" xfId="0">
      <alignment horizontal="right" vertical="center"/>
    </xf>
    <xf numFmtId="165" fontId="5" fillId="0" borderId="1" applyAlignment="1" pivotButton="0" quotePrefix="0" xfId="0">
      <alignment horizontal="right" vertical="center"/>
    </xf>
    <xf numFmtId="166" fontId="8" fillId="0" borderId="1" applyAlignment="1" pivotButton="0" quotePrefix="0" xfId="0">
      <alignment horizontal="right" vertical="center"/>
    </xf>
    <xf numFmtId="166" fontId="0" fillId="0" borderId="1" applyAlignment="1" pivotButton="0" quotePrefix="0" xfId="0">
      <alignment horizontal="right" vertical="center"/>
    </xf>
    <xf numFmtId="166" fontId="5" fillId="0" borderId="1" applyAlignment="1" pivotButton="0" quotePrefix="0" xfId="0">
      <alignment horizontal="right" vertical="center"/>
    </xf>
    <xf numFmtId="0" fontId="7" fillId="0" borderId="0" applyAlignment="1" pivotButton="0" quotePrefix="0" xfId="0">
      <alignment horizontal="left" vertical="top" wrapText="1"/>
    </xf>
    <xf numFmtId="164" fontId="4" fillId="0" borderId="1" applyAlignment="1" pivotButton="0" quotePrefix="0" xfId="0">
      <alignment horizontal="right" vertical="center"/>
    </xf>
    <xf numFmtId="0" fontId="0" fillId="0" borderId="1" pivotButton="0" quotePrefix="0" xfId="0"/>
    <xf numFmtId="164" fontId="4" fillId="6" borderId="1" applyAlignment="1" pivotButton="0" quotePrefix="0" xfId="0">
      <alignment horizontal="right" vertical="center"/>
    </xf>
    <xf numFmtId="164" fontId="0" fillId="6" borderId="1" applyAlignment="1" pivotButton="0" quotePrefix="0" xfId="0">
      <alignment horizontal="right" vertical="center"/>
    </xf>
    <xf numFmtId="164" fontId="8" fillId="6" borderId="1" applyAlignment="1" pivotButton="0" quotePrefix="0" xfId="0">
      <alignment horizontal="right" vertical="center"/>
    </xf>
    <xf numFmtId="0" fontId="11" fillId="2" borderId="1" applyAlignment="1" pivotButton="0" quotePrefix="0" xfId="0">
      <alignment horizontal="left" vertical="center" wrapText="1"/>
    </xf>
    <xf numFmtId="0" fontId="4" fillId="6" borderId="1" applyAlignment="1" pivotButton="0" quotePrefix="0" xfId="0">
      <alignment horizontal="left" vertical="center" wrapText="1"/>
    </xf>
    <xf numFmtId="0" fontId="5" fillId="0" borderId="1" applyAlignment="1" pivotButton="0" quotePrefix="0" xfId="0">
      <alignment horizontal="left" vertical="center" wrapText="1"/>
    </xf>
    <xf numFmtId="0" fontId="12" fillId="3" borderId="1" applyAlignment="1" pivotButton="0" quotePrefix="0" xfId="0">
      <alignment horizontal="left" vertical="center" wrapText="1"/>
    </xf>
    <xf numFmtId="164" fontId="12" fillId="3" borderId="1" applyAlignment="1" pivotButton="0" quotePrefix="0" xfId="0">
      <alignment horizontal="right" vertical="center"/>
    </xf>
    <xf numFmtId="0" fontId="7" fillId="0" borderId="0" pivotButton="0" quotePrefix="0" xfId="0"/>
    <xf numFmtId="0" fontId="4" fillId="0" borderId="1" applyAlignment="1" pivotButton="0" quotePrefix="0" xfId="0">
      <alignment horizontal="left" vertical="center" wrapText="1"/>
    </xf>
    <xf numFmtId="9" fontId="0" fillId="0" borderId="1" applyAlignment="1" pivotButton="0" quotePrefix="0" xfId="0">
      <alignment horizontal="center" vertical="center" wrapText="1"/>
    </xf>
    <xf numFmtId="0" fontId="4" fillId="8" borderId="1" applyAlignment="1" pivotButton="0" quotePrefix="0" xfId="0">
      <alignment horizontal="left" vertical="center" wrapText="1"/>
    </xf>
    <xf numFmtId="164" fontId="8" fillId="8" borderId="1" applyAlignment="1" pivotButton="0" quotePrefix="0" xfId="0">
      <alignment horizontal="right" vertical="center"/>
    </xf>
    <xf numFmtId="164" fontId="13" fillId="8" borderId="1" applyAlignment="1" pivotButton="0" quotePrefix="0" xfId="0">
      <alignment horizontal="right" vertical="center"/>
    </xf>
    <xf numFmtId="0" fontId="0" fillId="3" borderId="1" pivotButton="0" quotePrefix="0" xfId="0"/>
    <xf numFmtId="3" fontId="4" fillId="7" borderId="1" applyAlignment="1" pivotButton="0" quotePrefix="0" xfId="0">
      <alignment horizontal="center" vertical="center" wrapText="1"/>
    </xf>
    <xf numFmtId="9" fontId="11" fillId="2" borderId="1" applyAlignment="1" pivotButton="0" quotePrefix="0" xfId="0">
      <alignment horizontal="center" vertical="center" wrapText="1"/>
    </xf>
    <xf numFmtId="164" fontId="4" fillId="7" borderId="1" applyAlignment="1" pivotButton="0" quotePrefix="0" xfId="0">
      <alignment horizontal="center" vertical="center" wrapText="1"/>
    </xf>
    <xf numFmtId="3" fontId="11" fillId="2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James Profit by TIC $/sf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'Summary'!F22</f>
            </strRef>
          </tx>
          <spPr>
            <a:ln xmlns:a="http://schemas.openxmlformats.org/drawingml/2006/main">
              <a:prstDash val="solid"/>
            </a:ln>
          </spPr>
          <cat>
            <numRef>
              <f>'Summary'!$D$23:$D$26</f>
            </numRef>
          </cat>
          <val>
            <numRef>
              <f>'Summary'!$F$23:$F$26</f>
            </numRef>
          </val>
        </ser>
        <dLbls>
          <numFmt formatCode="$#,##0"/>
          <showVal val="1"/>
        </dLbls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TIC $/sf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James profit ($)</a:t>
                </a:r>
              </a:p>
            </rich>
          </tx>
        </title>
        <numFmt formatCode="$#,##0" sourceLinked="0"/>
        <majorTickMark val="none"/>
        <minorTickMark val="none"/>
        <crossAx val="10"/>
      </valAx>
    </plotArea>
    <plotVisOnly val="1"/>
    <dispBlanksAs val="gap"/>
  </chart>
</chartSpace>
</file>

<file path=xl/charts/chart2.xml><?xml version="1.0" encoding="utf-8"?>
<chartSpace xmlns="http://schemas.openxmlformats.org/drawingml/2006/chart">
  <style val="1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Seller: Outright Net vs Controlled-Flip Take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'Summary'!J22</f>
            </strRef>
          </tx>
          <spPr>
            <a:ln xmlns:a="http://schemas.openxmlformats.org/drawingml/2006/main">
              <a:prstDash val="solid"/>
            </a:ln>
          </spPr>
          <cat>
            <numRef>
              <f>'Summary'!$I$23:$I$24</f>
            </numRef>
          </cat>
          <val>
            <numRef>
              <f>'Summary'!$J$23:$J$24</f>
            </numRef>
          </val>
        </ser>
        <dLbls>
          <numFmt formatCode="$#,##0"/>
          <showVal val="1"/>
        </dLbls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Seller payout ($)</a:t>
                </a:r>
              </a:p>
            </rich>
          </tx>
        </title>
        <numFmt formatCode="$#,##0" sourceLinked="0"/>
        <majorTickMark val="none"/>
        <minorTickMark val="none"/>
        <crossAx val="10"/>
      </valAx>
    </plotArea>
    <plotVisOnly val="1"/>
    <dispBlanksAs val="gap"/>
  </chart>
</chartSpace>
</file>

<file path=xl/charts/chart3.xml><?xml version="1.0" encoding="utf-8"?>
<chartSpace xmlns="http://schemas.openxmlformats.org/drawingml/2006/chart">
  <style val="1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Cumulative Cash Position by Month</a:t>
            </a:r>
          </a:p>
        </rich>
      </tx>
    </title>
    <plotArea>
      <lineChart>
        <grouping val="standard"/>
        <ser>
          <idx val="0"/>
          <order val="0"/>
          <spPr>
            <a:ln xmlns:a="http://schemas.openxmlformats.org/drawingml/2006/main" w="28000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'Cash Flow'!$B$5:$F$5</f>
            </numRef>
          </cat>
          <val>
            <numRef>
              <f>'Cash Flow'!$B$16:$F$16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Month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Cumulative cash ($)</a:t>
                </a:r>
              </a:p>
            </rich>
          </tx>
        </title>
        <numFmt formatCode="$#,##0" sourceLinked="0"/>
        <majorTickMark val="none"/>
        <minorTickMark val="none"/>
        <crossAx val="10"/>
      </valAx>
    </plotArea>
    <plotVisOnly val="1"/>
    <dispBlanksAs val="gap"/>
  </chart>
</chartSpace>
</file>

<file path=xl/charts/chart4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James Profit by Hold Length</a:t>
            </a:r>
          </a:p>
        </rich>
      </tx>
    </title>
    <plotArea>
      <barChart>
        <barDir val="col"/>
        <grouping val="clustered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'Timing'!$B$5:$E$5</f>
            </numRef>
          </cat>
          <val>
            <numRef>
              <f>'Timing'!$B$12:$E$12</f>
            </numRef>
          </val>
        </ser>
        <dLbls>
          <numFmt formatCode="$#,##0"/>
          <showVal val="1"/>
        </dLbls>
        <gapWidth val="150"/>
        <axId val="10"/>
        <axId val="100"/>
      </barChart>
      <lineChart>
        <grouping val="standard"/>
        <ser>
          <idx val="1"/>
          <order val="1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val>
            <numRef>
              <f>'Timing'!$B$15:$E$15</f>
            </numRef>
          </val>
        </ser>
        <axId val="10"/>
        <axId val="2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Hold (months)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James profit ($)</a:t>
                </a:r>
              </a:p>
            </rich>
          </tx>
        </title>
        <numFmt formatCode="$#,##0" sourceLinked="0"/>
        <majorTickMark val="none"/>
        <minorTickMark val="none"/>
        <crossAx val="10"/>
        <crosses val="autoZero"/>
      </valAx>
      <valAx>
        <axId val="2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Annualized return</a:t>
                </a:r>
              </a:p>
            </rich>
          </tx>
        </title>
        <numFmt formatCode="0%" sourceLinked="0"/>
        <majorTickMark val="none"/>
        <minorTickMark val="none"/>
        <crossAx val="10"/>
        <crosses val="max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_rels/drawing2.xml.rels><Relationships xmlns="http://schemas.openxmlformats.org/package/2006/relationships"><Relationship Type="http://schemas.openxmlformats.org/officeDocument/2006/relationships/chart" Target="/xl/charts/chart3.xml" Id="rId1"/></Relationships>
</file>

<file path=xl/drawings/_rels/drawing3.xml.rels><Relationships xmlns="http://schemas.openxmlformats.org/package/2006/relationships"><Relationship Type="http://schemas.openxmlformats.org/officeDocument/2006/relationships/chart" Target="/xl/charts/chart4.xml" Id="rId1"/></Relationships>
</file>

<file path=xl/drawings/drawing1.xml><?xml version="1.0" encoding="utf-8"?>
<wsDr xmlns="http://schemas.openxmlformats.org/drawingml/2006/spreadsheetDrawing">
  <oneCellAnchor>
    <from>
      <col>3</col>
      <colOff>0</colOff>
      <row>29</row>
      <rowOff>0</rowOff>
    </from>
    <ext cx="4500000" cy="2592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8</col>
      <colOff>0</colOff>
      <row>29</row>
      <rowOff>0</rowOff>
    </from>
    <ext cx="4500000" cy="2592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0</col>
      <colOff>0</colOff>
      <row>19</row>
      <rowOff>0</rowOff>
    </from>
    <ext cx="576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3.xml><?xml version="1.0" encoding="utf-8"?>
<wsDr xmlns="http://schemas.openxmlformats.org/drawingml/2006/spreadsheetDrawing">
  <oneCellAnchor>
    <from>
      <col>0</col>
      <colOff>0</colOff>
      <row>19</row>
      <rowOff>0</rowOff>
    </from>
    <ext cx="576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3.xml" Id="rId1"/></Relationships>
</file>

<file path=xl/worksheets/sheet1.xml><?xml version="1.0" encoding="utf-8"?>
<worksheet xmlns="http://schemas.openxmlformats.org/spreadsheetml/2006/main">
  <sheetPr>
    <tabColor rgb="000F2E4F"/>
    <outlinePr summaryBelow="1" summaryRight="1"/>
    <pageSetUpPr/>
  </sheetPr>
  <dimension ref="A1:J31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34" customWidth="1" min="1" max="1"/>
    <col width="16" customWidth="1" min="2" max="2"/>
    <col width="22" customWidth="1" min="3" max="3"/>
    <col width="22" customWidth="1" min="4" max="4"/>
    <col width="16" customWidth="1" min="5" max="5"/>
    <col width="16" customWidth="1" min="6" max="6"/>
    <col width="14" customWidth="1" min="7" max="7"/>
    <col width="2" customWidth="1" min="8" max="8"/>
    <col width="20" customWidth="1" min="9" max="9"/>
    <col width="14" customWidth="1" min="10" max="10"/>
  </cols>
  <sheetData>
    <row r="1" ht="30" customHeight="1">
      <c r="A1" s="1" t="inlineStr">
        <is>
          <t>1909 N Summit Ave  -  Controlled Flip Model</t>
        </is>
      </c>
      <c r="B1" s="2" t="n"/>
      <c r="C1" s="2" t="n"/>
      <c r="D1" s="2" t="n"/>
      <c r="E1" s="2" t="n"/>
      <c r="F1" s="2" t="n"/>
      <c r="G1" s="2" t="n"/>
    </row>
    <row r="2" ht="16" customHeight="1">
      <c r="A2" s="3" t="inlineStr">
        <is>
          <t>Pasadena CA 91103  |  Duplex (2 detached houses @ 1,107 sf)  |  Option -&gt; Double-Escrow TIC conversion  |  Prepared June 11, 2026</t>
        </is>
      </c>
      <c r="B2" s="2" t="n"/>
      <c r="C2" s="2" t="n"/>
      <c r="D2" s="2" t="n"/>
      <c r="E2" s="2" t="n"/>
      <c r="F2" s="2" t="n"/>
      <c r="G2" s="2" t="n"/>
    </row>
    <row r="4" ht="20" customHeight="1">
      <c r="A4" s="4" t="inlineStr">
        <is>
          <t>DEAL INPUTS  (edit the yellow cells)</t>
        </is>
      </c>
      <c r="B4" s="5" t="n"/>
      <c r="C4" s="5" t="n"/>
      <c r="D4" s="4" t="inlineStr">
        <is>
          <t>HEADLINE OUTPUTS</t>
        </is>
      </c>
      <c r="E4" s="5" t="n"/>
      <c r="F4" s="5" t="n"/>
      <c r="G4" s="5" t="n"/>
    </row>
    <row r="5" ht="26" customHeight="1">
      <c r="A5" s="6" t="inlineStr">
        <is>
          <t>Input</t>
        </is>
      </c>
      <c r="B5" s="7" t="inlineStr">
        <is>
          <t>Value</t>
        </is>
      </c>
      <c r="D5" s="8" t="inlineStr">
        <is>
          <t>James cash-in</t>
        </is>
      </c>
      <c r="E5" s="9">
        <f>B27</f>
        <v/>
      </c>
      <c r="F5" s="8" t="inlineStr">
        <is>
          <t>Seller TOTAL take</t>
        </is>
      </c>
      <c r="G5" s="9">
        <f>B9+B30</f>
        <v/>
      </c>
    </row>
    <row r="6" ht="26" customHeight="1">
      <c r="A6" s="10" t="inlineStr">
        <is>
          <t>TIC price ($/sf)</t>
        </is>
      </c>
      <c r="B6" s="11" t="n">
        <v>950</v>
      </c>
      <c r="D6" s="8" t="inlineStr">
        <is>
          <t>James PROFIT</t>
        </is>
      </c>
      <c r="E6" s="9">
        <f>B31</f>
        <v/>
      </c>
      <c r="F6" s="8" t="inlineStr">
        <is>
          <t>Seller BONUS vs outright net</t>
        </is>
      </c>
      <c r="G6" s="9">
        <f>(B9+B30)-1405000</f>
        <v/>
      </c>
    </row>
    <row r="7" ht="26" customHeight="1">
      <c r="A7" s="10" t="inlineStr">
        <is>
          <t>House size (sf each)</t>
        </is>
      </c>
      <c r="B7" s="12" t="n">
        <v>1107</v>
      </c>
      <c r="D7" s="8" t="inlineStr">
        <is>
          <t>Cash-on-cash return</t>
        </is>
      </c>
      <c r="E7" s="13">
        <f>B31/B27</f>
        <v/>
      </c>
      <c r="F7" s="8" t="inlineStr">
        <is>
          <t>Profit pool</t>
        </is>
      </c>
      <c r="G7" s="9">
        <f>B29</f>
        <v/>
      </c>
    </row>
    <row r="8" ht="26" customHeight="1">
      <c r="A8" s="10" t="inlineStr">
        <is>
          <t>Number of houses</t>
        </is>
      </c>
      <c r="B8" s="12" t="n">
        <v>2</v>
      </c>
      <c r="D8" s="8" t="inlineStr">
        <is>
          <t>Annualized return</t>
        </is>
      </c>
      <c r="E8" s="13">
        <f>(B31/B27)*(12/B11)</f>
        <v/>
      </c>
      <c r="F8" s="8" t="inlineStr">
        <is>
          <t>Sellout (gross)</t>
        </is>
      </c>
      <c r="G8" s="9">
        <f>B24</f>
        <v/>
      </c>
    </row>
    <row r="9" ht="26" customHeight="1">
      <c r="A9" s="14" t="inlineStr">
        <is>
          <t>Seller BASE (selected)</t>
        </is>
      </c>
      <c r="B9" s="15">
        <f>IF(B21=2,B20,B19)</f>
        <v/>
      </c>
      <c r="C9" s="16" t="inlineStr">
        <is>
          <t>driven by toggle below</t>
        </is>
      </c>
      <c r="D9" s="8" t="inlineStr">
        <is>
          <t>Equity multiple</t>
        </is>
      </c>
      <c r="E9" s="17">
        <f>(B27+B31)/B27</f>
        <v/>
      </c>
      <c r="F9" s="8" t="inlineStr">
        <is>
          <t>Seller share of pool</t>
        </is>
      </c>
      <c r="G9" s="9">
        <f>B30</f>
        <v/>
      </c>
    </row>
    <row r="10">
      <c r="A10" s="10" t="inlineStr">
        <is>
          <t>Seller PROFIT SPLIT %</t>
        </is>
      </c>
      <c r="B10" s="18" t="n">
        <v>0.25</v>
      </c>
    </row>
    <row r="11" ht="20" customHeight="1">
      <c r="A11" s="10" t="inlineStr">
        <is>
          <t>Hold (months)</t>
        </is>
      </c>
      <c r="B11" s="12" t="n">
        <v>4</v>
      </c>
      <c r="D11" s="4" t="inlineStr">
        <is>
          <t>CONTROLLED-FLIP  vs  BUY-OUTRIGHT  (both @ $950/sf base)</t>
        </is>
      </c>
      <c r="E11" s="5" t="n"/>
      <c r="F11" s="5" t="n"/>
      <c r="G11" s="5" t="n"/>
    </row>
    <row r="12">
      <c r="A12" s="10" t="inlineStr">
        <is>
          <t>Capital cost (% / yr, IO)</t>
        </is>
      </c>
      <c r="B12" s="19" t="n">
        <v>0.08500000000000001</v>
      </c>
      <c r="D12" s="20" t="inlineStr">
        <is>
          <t>Metric</t>
        </is>
      </c>
      <c r="E12" s="20" t="inlineStr">
        <is>
          <t>Controlled-Flip</t>
        </is>
      </c>
      <c r="F12" s="20" t="inlineStr">
        <is>
          <t>Buy-Outright</t>
        </is>
      </c>
      <c r="G12" s="20" t="inlineStr">
        <is>
          <t>Delta</t>
        </is>
      </c>
    </row>
    <row r="13">
      <c r="A13" s="10" t="inlineStr">
        <is>
          <t>Sale costs (% of sellout)</t>
        </is>
      </c>
      <c r="B13" s="19" t="n">
        <v>0.045</v>
      </c>
      <c r="D13" s="21" t="inlineStr">
        <is>
          <t>James cash-in</t>
        </is>
      </c>
      <c r="E13" s="22">
        <f>B27</f>
        <v/>
      </c>
      <c r="F13" s="23" t="n">
        <v>391425</v>
      </c>
      <c r="G13" s="24">
        <f>E13-F13</f>
        <v/>
      </c>
    </row>
    <row r="14">
      <c r="A14" s="10" t="inlineStr">
        <is>
          <t>Rehab</t>
        </is>
      </c>
      <c r="B14" s="11" t="n">
        <v>200000</v>
      </c>
      <c r="D14" s="21" t="inlineStr">
        <is>
          <t>James net profit</t>
        </is>
      </c>
      <c r="E14" s="22">
        <f>B31</f>
        <v/>
      </c>
      <c r="F14" s="23" t="n">
        <v>222806</v>
      </c>
      <c r="G14" s="24">
        <f>E14-F14</f>
        <v/>
      </c>
    </row>
    <row r="15">
      <c r="A15" s="10" t="inlineStr">
        <is>
          <t>Permits / design</t>
        </is>
      </c>
      <c r="B15" s="11" t="n">
        <v>15000</v>
      </c>
      <c r="D15" s="21" t="inlineStr">
        <is>
          <t>Cash-on-cash</t>
        </is>
      </c>
      <c r="E15" s="25">
        <f>B31/B27</f>
        <v/>
      </c>
      <c r="F15" s="26">
        <f>F14/F13</f>
        <v/>
      </c>
      <c r="G15" s="27">
        <f>E15-F15</f>
        <v/>
      </c>
    </row>
    <row r="16">
      <c r="A16" s="10" t="inlineStr">
        <is>
          <t>TIC legal / docs</t>
        </is>
      </c>
      <c r="B16" s="11" t="n">
        <v>15000</v>
      </c>
      <c r="D16" s="21" t="inlineStr">
        <is>
          <t>Annualized</t>
        </is>
      </c>
      <c r="E16" s="25">
        <f>(B31/B27)*(12/B11)</f>
        <v/>
      </c>
      <c r="F16" s="26">
        <f>(F14/F13)*(12/4)</f>
        <v/>
      </c>
      <c r="G16" s="27">
        <f>E16-F16</f>
        <v/>
      </c>
    </row>
    <row r="17">
      <c r="A17" s="10" t="inlineStr">
        <is>
          <t>Moving advance to seller</t>
        </is>
      </c>
      <c r="B17" s="11" t="n">
        <v>50000</v>
      </c>
      <c r="D17" s="21" t="inlineStr">
        <is>
          <t>Equity multiple</t>
        </is>
      </c>
      <c r="E17" s="28">
        <f>(B27+B31)/B27</f>
        <v/>
      </c>
      <c r="F17" s="29">
        <f>(F13+F14)/F13</f>
        <v/>
      </c>
      <c r="G17" s="30">
        <f>E17-F17</f>
        <v/>
      </c>
    </row>
    <row r="18">
      <c r="A18" s="14" t="inlineStr">
        <is>
          <t>Seller base option:</t>
        </is>
      </c>
      <c r="D18" s="21" t="inlineStr">
        <is>
          <t>Seller total take</t>
        </is>
      </c>
      <c r="E18" s="22">
        <f>B9+B30</f>
        <v/>
      </c>
      <c r="F18" s="23" t="n">
        <v>1405000</v>
      </c>
      <c r="G18" s="24">
        <f>E18-F18</f>
        <v/>
      </c>
    </row>
    <row r="19" ht="26" customHeight="1">
      <c r="A19" s="10" t="inlineStr">
        <is>
          <t xml:space="preserve">  BASE = seller net walk-away (free &amp; clear)</t>
        </is>
      </c>
      <c r="B19" s="24" t="n">
        <v>1405000</v>
      </c>
      <c r="D19" s="31" t="inlineStr">
        <is>
          <t>Buy-outright reference: report sec. 5.3 (80% leverage, ~$391K cash-in, ~$223K profit). Editable in F-column.</t>
        </is>
      </c>
    </row>
    <row r="20">
      <c r="A20" s="10" t="inlineStr">
        <is>
          <t xml:space="preserve">  ALT  = seller gross list / as-is value</t>
        </is>
      </c>
      <c r="B20" s="24" t="n">
        <v>1495000</v>
      </c>
    </row>
    <row r="21" ht="20" customHeight="1">
      <c r="A21" s="10" t="inlineStr">
        <is>
          <t xml:space="preserve">  Toggle  (1 = BASE,  2 = ALT)</t>
        </is>
      </c>
      <c r="B21" s="12" t="n">
        <v>1</v>
      </c>
      <c r="C21" s="16" t="inlineStr">
        <is>
          <t>&lt;- set 1 or 2</t>
        </is>
      </c>
      <c r="D21" s="4" t="inlineStr">
        <is>
          <t>JAMES PROFIT &amp; SELLER TAKE  by TIC $/sf scenario</t>
        </is>
      </c>
      <c r="E21" s="5" t="n"/>
      <c r="F21" s="5" t="n"/>
      <c r="G21" s="5" t="n"/>
    </row>
    <row r="22">
      <c r="D22" s="20" t="inlineStr">
        <is>
          <t>TIC $/sf</t>
        </is>
      </c>
      <c r="E22" s="20" t="inlineStr">
        <is>
          <t>Sellout</t>
        </is>
      </c>
      <c r="F22" s="20" t="inlineStr">
        <is>
          <t>James profit</t>
        </is>
      </c>
      <c r="G22" s="20" t="inlineStr">
        <is>
          <t>Seller take</t>
        </is>
      </c>
      <c r="I22" s="20" t="inlineStr">
        <is>
          <t>Seller payout</t>
        </is>
      </c>
      <c r="J22" s="20" t="inlineStr">
        <is>
          <t>Amount</t>
        </is>
      </c>
    </row>
    <row r="23" ht="20" customHeight="1">
      <c r="A23" s="4" t="inlineStr">
        <is>
          <t>DEAL ECONOMICS  (live formulas)</t>
        </is>
      </c>
      <c r="B23" s="5" t="n"/>
      <c r="C23" s="5" t="n"/>
      <c r="D23" s="32" t="n">
        <v>900</v>
      </c>
      <c r="E23" s="23">
        <f>900*$B$7*$B$8</f>
        <v/>
      </c>
      <c r="F23" s="22">
        <f>(1-$B$10)*(E23-$B$9-$B$14-$B$15-$B$16-$B$17-(E23*$B$13)-$B$26)</f>
        <v/>
      </c>
      <c r="G23" s="23">
        <f>$B$9+$B$10*(E23-$B$9-$B$14-$B$15-$B$16-$B$17-(E23*$B$13)-$B$26)</f>
        <v/>
      </c>
      <c r="I23" s="33" t="inlineStr">
        <is>
          <t>Sell outright (net)</t>
        </is>
      </c>
      <c r="J23" s="23" t="n">
        <v>1405000</v>
      </c>
    </row>
    <row r="24">
      <c r="A24" s="14" t="inlineStr">
        <is>
          <t>Sellout (=$/sf x sf x houses)</t>
        </is>
      </c>
      <c r="B24" s="22">
        <f>B6*B7*B8</f>
        <v/>
      </c>
      <c r="D24" s="34" t="n">
        <v>950</v>
      </c>
      <c r="E24" s="35">
        <f>950*$B$7*$B$8</f>
        <v/>
      </c>
      <c r="F24" s="36">
        <f>(1-$B$10)*(E24-$B$9-$B$14-$B$15-$B$16-$B$17-(E24*$B$13)-$B$26)</f>
        <v/>
      </c>
      <c r="G24" s="35">
        <f>$B$9+$B$10*(E24-$B$9-$B$14-$B$15-$B$16-$B$17-(E24*$B$13)-$B$26)</f>
        <v/>
      </c>
      <c r="I24" s="33" t="inlineStr">
        <is>
          <t>Controlled-flip take</t>
        </is>
      </c>
      <c r="J24" s="23">
        <f>B9+B30</f>
        <v/>
      </c>
    </row>
    <row r="25">
      <c r="A25" s="14" t="inlineStr">
        <is>
          <t>Deployed cash (rehab+permits+legal+advance)</t>
        </is>
      </c>
      <c r="B25" s="22">
        <f>B14+B15+B16+B17</f>
        <v/>
      </c>
      <c r="D25" s="32" t="n">
        <v>1000</v>
      </c>
      <c r="E25" s="23">
        <f>1000*$B$7*$B$8</f>
        <v/>
      </c>
      <c r="F25" s="22">
        <f>(1-$B$10)*(E25-$B$9-$B$14-$B$15-$B$16-$B$17-(E25*$B$13)-$B$26)</f>
        <v/>
      </c>
      <c r="G25" s="23">
        <f>$B$9+$B$10*(E25-$B$9-$B$14-$B$15-$B$16-$B$17-(E25*$B$13)-$B$26)</f>
        <v/>
      </c>
    </row>
    <row r="26">
      <c r="A26" s="10" t="inlineStr">
        <is>
          <t>Carry (deployed x rate x mo/12)</t>
        </is>
      </c>
      <c r="B26" s="24">
        <f>B25*B12*(B11/12)</f>
        <v/>
      </c>
      <c r="D26" s="32" t="n">
        <v>1075</v>
      </c>
      <c r="E26" s="23">
        <f>1075*$B$7*$B$8</f>
        <v/>
      </c>
      <c r="F26" s="22">
        <f>(1-$B$10)*(E26-$B$9-$B$14-$B$15-$B$16-$B$17-(E26*$B$13)-$B$26)</f>
        <v/>
      </c>
      <c r="G26" s="23">
        <f>$B$9+$B$10*(E26-$B$9-$B$14-$B$15-$B$16-$B$17-(E26*$B$13)-$B$26)</f>
        <v/>
      </c>
    </row>
    <row r="27">
      <c r="A27" s="14" t="inlineStr">
        <is>
          <t>Total cash-in (deployed + carry)</t>
        </is>
      </c>
      <c r="B27" s="22">
        <f>B25+B26</f>
        <v/>
      </c>
    </row>
    <row r="28">
      <c r="A28" s="10" t="inlineStr">
        <is>
          <t>Sale costs (% x sellout)</t>
        </is>
      </c>
      <c r="B28" s="24">
        <f>B24*B13</f>
        <v/>
      </c>
    </row>
    <row r="29">
      <c r="A29" s="14" t="inlineStr">
        <is>
          <t>Profit pool</t>
        </is>
      </c>
      <c r="B29" s="22">
        <f>B24-B9-B14-B15-B16-B17-B28-B26</f>
        <v/>
      </c>
    </row>
    <row r="30">
      <c r="A30" s="10" t="inlineStr">
        <is>
          <t>Seller share of pool (split% x pool)</t>
        </is>
      </c>
      <c r="B30" s="24">
        <f>B10*B29</f>
        <v/>
      </c>
    </row>
    <row r="31">
      <c r="A31" s="14" t="inlineStr">
        <is>
          <t>James share of pool ((1-split%) x pool)</t>
        </is>
      </c>
      <c r="B31" s="22">
        <f>(1-B10)*B29</f>
        <v/>
      </c>
    </row>
  </sheetData>
  <mergeCells count="8">
    <mergeCell ref="A1:G1"/>
    <mergeCell ref="A23:C23"/>
    <mergeCell ref="D21:G21"/>
    <mergeCell ref="A2:G2"/>
    <mergeCell ref="D19:G19"/>
    <mergeCell ref="D11:G11"/>
    <mergeCell ref="A4:C4"/>
    <mergeCell ref="D4:G4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tabColor rgb="001C4E80"/>
    <outlinePr summaryBelow="1" summaryRight="1"/>
    <pageSetUpPr/>
  </sheetPr>
  <dimension ref="A1:D27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40" customWidth="1" min="1" max="1"/>
    <col width="18" customWidth="1" min="2" max="2"/>
    <col width="8" customWidth="1" min="3" max="3"/>
    <col width="44" customWidth="1" min="4" max="4"/>
  </cols>
  <sheetData>
    <row r="1" ht="30" customHeight="1">
      <c r="A1" s="1" t="inlineStr">
        <is>
          <t>Proforma  -  Base Case Deal Economics</t>
        </is>
      </c>
      <c r="B1" s="2" t="n"/>
      <c r="C1" s="2" t="n"/>
      <c r="D1" s="2" t="n"/>
    </row>
    <row r="2" ht="16" customHeight="1">
      <c r="A2" s="3" t="inlineStr">
        <is>
          <t>All lines link live to Summary inputs.  Base = $950/sf, seller base per Summary toggle, 25% split, 4-mo hold.</t>
        </is>
      </c>
      <c r="B2" s="2" t="n"/>
      <c r="C2" s="2" t="n"/>
      <c r="D2" s="2" t="n"/>
    </row>
    <row r="4" ht="20" customHeight="1">
      <c r="A4" s="4" t="inlineStr">
        <is>
          <t>WATERFALL  (TIC sellout down to the profit split)</t>
        </is>
      </c>
      <c r="B4" s="5" t="n"/>
      <c r="C4" s="5" t="n"/>
      <c r="D4" s="5" t="n"/>
    </row>
    <row r="5">
      <c r="A5" s="37" t="inlineStr">
        <is>
          <t>Line item</t>
        </is>
      </c>
      <c r="B5" s="20" t="inlineStr">
        <is>
          <t>Amount</t>
        </is>
      </c>
      <c r="C5" s="37" t="inlineStr"/>
      <c r="D5" s="37" t="inlineStr">
        <is>
          <t>Note</t>
        </is>
      </c>
    </row>
    <row r="6">
      <c r="A6" s="38" t="inlineStr">
        <is>
          <t>TIC sellout  ($/sf x sf x houses)</t>
        </is>
      </c>
      <c r="B6" s="36">
        <f>Summary!B24</f>
        <v/>
      </c>
      <c r="D6" s="16" t="inlineStr">
        <is>
          <t>Value-creation engine</t>
        </is>
      </c>
    </row>
    <row r="7">
      <c r="A7" s="39" t="inlineStr">
        <is>
          <t>Less: Seller base / strike</t>
        </is>
      </c>
      <c r="B7" s="24">
        <f>-Summary!B9</f>
        <v/>
      </c>
      <c r="D7" s="16" t="inlineStr">
        <is>
          <t>Seller made whole first (toggle on Summary)</t>
        </is>
      </c>
    </row>
    <row r="8">
      <c r="A8" s="39" t="inlineStr">
        <is>
          <t>Less: Rehab</t>
        </is>
      </c>
      <c r="B8" s="24">
        <f>-Summary!B14</f>
        <v/>
      </c>
      <c r="D8" s="16" t="inlineStr">
        <is>
          <t>$100K / house</t>
        </is>
      </c>
    </row>
    <row r="9">
      <c r="A9" s="39" t="inlineStr">
        <is>
          <t>Less: Permits / design</t>
        </is>
      </c>
      <c r="B9" s="24">
        <f>-Summary!B15</f>
        <v/>
      </c>
      <c r="D9" s="16" t="inlineStr"/>
    </row>
    <row r="10">
      <c r="A10" s="39" t="inlineStr">
        <is>
          <t>Less: TIC legal / docs</t>
        </is>
      </c>
      <c r="B10" s="24">
        <f>-Summary!B16</f>
        <v/>
      </c>
      <c r="D10" s="16" t="inlineStr"/>
    </row>
    <row r="11">
      <c r="A11" s="39" t="inlineStr">
        <is>
          <t>Less: Moving advance</t>
        </is>
      </c>
      <c r="B11" s="24">
        <f>-Summary!B17</f>
        <v/>
      </c>
      <c r="D11" s="16" t="inlineStr">
        <is>
          <t>Already paid to seller, reimbursed here</t>
        </is>
      </c>
    </row>
    <row r="12">
      <c r="A12" s="39" t="inlineStr">
        <is>
          <t>Less: Sale costs (4.5%)</t>
        </is>
      </c>
      <c r="B12" s="24">
        <f>-Summary!B28</f>
        <v/>
      </c>
      <c r="D12" s="16" t="inlineStr">
        <is>
          <t>3% commission + 1.5% title/escrow</t>
        </is>
      </c>
    </row>
    <row r="13">
      <c r="A13" s="39" t="inlineStr">
        <is>
          <t>Less: Carry (8.5% IO on cash-in)</t>
        </is>
      </c>
      <c r="B13" s="24">
        <f>-Summary!B26</f>
        <v/>
      </c>
      <c r="D13" s="16" t="inlineStr">
        <is>
          <t>Only on deployed ~$280K, not the purchase</t>
        </is>
      </c>
    </row>
    <row r="14">
      <c r="A14" s="40">
        <f> NET PROFIT POOL</f>
        <v/>
      </c>
      <c r="B14" s="41">
        <f>SUM(B6:B13)</f>
        <v/>
      </c>
      <c r="D14" s="42" t="inlineStr">
        <is>
          <t>Sellout less all costs &amp; seller base</t>
        </is>
      </c>
    </row>
    <row r="16" ht="20" customHeight="1">
      <c r="A16" s="4" t="inlineStr">
        <is>
          <t>PROFIT SPLIT</t>
        </is>
      </c>
      <c r="B16" s="5" t="n"/>
      <c r="C16" s="5" t="n"/>
      <c r="D16" s="5" t="n"/>
    </row>
    <row r="17">
      <c r="A17" s="43" t="inlineStr">
        <is>
          <t>Seller share of pool (split %)</t>
        </is>
      </c>
      <c r="B17" s="22">
        <f>Summary!B10*B14</f>
        <v/>
      </c>
      <c r="C17" s="44">
        <f>Summary!B10</f>
        <v/>
      </c>
    </row>
    <row r="18">
      <c r="A18" s="43" t="inlineStr">
        <is>
          <t>James share of pool (1 - split %)</t>
        </is>
      </c>
      <c r="B18" s="22">
        <f>(1-Summary!B10)*B14</f>
        <v/>
      </c>
      <c r="C18" s="44">
        <f>1-Summary!B10</f>
        <v/>
      </c>
    </row>
    <row r="20" ht="20" customHeight="1">
      <c r="A20" s="4" t="inlineStr">
        <is>
          <t>OUTCOMES &amp; RETURNS</t>
        </is>
      </c>
      <c r="B20" s="5" t="n"/>
      <c r="C20" s="5" t="n"/>
      <c r="D20" s="5" t="n"/>
    </row>
    <row r="21">
      <c r="A21" s="45" t="inlineStr">
        <is>
          <t>Seller TOTAL take (base + share)</t>
        </is>
      </c>
      <c r="B21" s="46">
        <f>Summary!B9+B17</f>
        <v/>
      </c>
      <c r="D21" s="16" t="inlineStr"/>
    </row>
    <row r="22">
      <c r="A22" s="43" t="inlineStr">
        <is>
          <t>Seller bonus vs outright net ($1.405M)</t>
        </is>
      </c>
      <c r="B22" s="22">
        <f>B21-1405000</f>
        <v/>
      </c>
      <c r="D22" s="16" t="inlineStr">
        <is>
          <t>Reason seller signs</t>
        </is>
      </c>
    </row>
    <row r="23">
      <c r="A23" s="43" t="inlineStr">
        <is>
          <t>James cash-in (deployed + carry)</t>
        </is>
      </c>
      <c r="B23" s="22">
        <f>Summary!B27</f>
        <v/>
      </c>
      <c r="D23" s="16" t="inlineStr">
        <is>
          <t>Rehab+permits+legal+advance+carry</t>
        </is>
      </c>
    </row>
    <row r="24">
      <c r="A24" s="45" t="inlineStr">
        <is>
          <t>James PROFIT</t>
        </is>
      </c>
      <c r="B24" s="47">
        <f>B18</f>
        <v/>
      </c>
      <c r="D24" s="16" t="inlineStr">
        <is>
          <t>75% of pool at base split</t>
        </is>
      </c>
    </row>
    <row r="25">
      <c r="A25" s="43" t="inlineStr">
        <is>
          <t>Cash-on-cash return</t>
        </is>
      </c>
      <c r="B25" s="25">
        <f>B24/B23</f>
        <v/>
      </c>
      <c r="D25" s="16" t="inlineStr">
        <is>
          <t>Profit / cash-in</t>
        </is>
      </c>
    </row>
    <row r="26">
      <c r="A26" s="43" t="inlineStr">
        <is>
          <t>Annualized return</t>
        </is>
      </c>
      <c r="B26" s="25">
        <f>B25*(12/Summary!B11)</f>
        <v/>
      </c>
      <c r="D26" s="16" t="inlineStr">
        <is>
          <t>Cash-on-cash x 12/months</t>
        </is>
      </c>
    </row>
    <row r="27">
      <c r="A27" s="43" t="inlineStr">
        <is>
          <t>Equity multiple</t>
        </is>
      </c>
      <c r="B27" s="28">
        <f>(B23+B24)/B23</f>
        <v/>
      </c>
      <c r="D27" s="16" t="inlineStr">
        <is>
          <t>(cash-in + profit)/cash-in</t>
        </is>
      </c>
    </row>
  </sheetData>
  <mergeCells count="5">
    <mergeCell ref="A1:D1"/>
    <mergeCell ref="A4:D4"/>
    <mergeCell ref="A20:D20"/>
    <mergeCell ref="A16:D16"/>
    <mergeCell ref="A2:D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C9A227"/>
    <outlinePr summaryBelow="1" summaryRight="1"/>
    <pageSetUpPr/>
  </sheetPr>
  <dimension ref="A1:G18"/>
  <sheetViews>
    <sheetView showGridLines="0" workbookViewId="0">
      <pane xSplit="1" ySplit="5" topLeftCell="B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4" customWidth="1" min="1" max="1"/>
    <col width="15" customWidth="1" min="2" max="2"/>
    <col width="15" customWidth="1" min="3" max="3"/>
    <col width="15" customWidth="1" min="4" max="4"/>
    <col width="15" customWidth="1" min="5" max="5"/>
    <col width="17" customWidth="1" min="6" max="6"/>
    <col width="16" customWidth="1" min="7" max="7"/>
  </cols>
  <sheetData>
    <row r="1" ht="30" customHeight="1">
      <c r="A1" s="1" t="inlineStr">
        <is>
          <t>Monthly Cash Flow  -  4-Month Base Hold</t>
        </is>
      </c>
      <c r="B1" s="2" t="n"/>
      <c r="C1" s="2" t="n"/>
      <c r="D1" s="2" t="n"/>
      <c r="E1" s="2" t="n"/>
      <c r="F1" s="2" t="n"/>
      <c r="G1" s="2" t="n"/>
    </row>
    <row r="2" ht="16" customHeight="1">
      <c r="A2" s="3" t="inlineStr">
        <is>
          <t>Negative = cash out, positive = cash in.  Driven by Summary inputs.  Months 0-4.</t>
        </is>
      </c>
      <c r="B2" s="2" t="n"/>
      <c r="C2" s="2" t="n"/>
      <c r="D2" s="2" t="n"/>
      <c r="E2" s="2" t="n"/>
      <c r="F2" s="2" t="n"/>
      <c r="G2" s="2" t="n"/>
    </row>
    <row r="4" ht="20" customHeight="1">
      <c r="A4" s="4" t="inlineStr">
        <is>
          <t>CASH FLOW BY MONTH</t>
        </is>
      </c>
      <c r="B4" s="5" t="n"/>
      <c r="C4" s="5" t="n"/>
      <c r="D4" s="5" t="n"/>
      <c r="E4" s="5" t="n"/>
      <c r="F4" s="5" t="n"/>
      <c r="G4" s="5" t="n"/>
    </row>
    <row r="5" ht="28" customHeight="1">
      <c r="A5" s="20" t="inlineStr">
        <is>
          <t>Line item (cash out negative)</t>
        </is>
      </c>
      <c r="B5" s="20" t="inlineStr">
        <is>
          <t>Month 0</t>
        </is>
      </c>
      <c r="C5" s="20" t="inlineStr">
        <is>
          <t>Month 1</t>
        </is>
      </c>
      <c r="D5" s="20" t="inlineStr">
        <is>
          <t>Month 2</t>
        </is>
      </c>
      <c r="E5" s="20" t="inlineStr">
        <is>
          <t>Month 3</t>
        </is>
      </c>
      <c r="F5" s="20" t="inlineStr">
        <is>
          <t>Month 4 (close)</t>
        </is>
      </c>
      <c r="G5" s="20" t="inlineStr">
        <is>
          <t>Total</t>
        </is>
      </c>
    </row>
    <row r="6">
      <c r="A6" s="39" t="inlineStr">
        <is>
          <t>Moving advance to seller</t>
        </is>
      </c>
      <c r="B6" s="23">
        <f>-Summary!B17</f>
        <v/>
      </c>
      <c r="C6" s="23" t="n">
        <v>0</v>
      </c>
      <c r="D6" s="23" t="n">
        <v>0</v>
      </c>
      <c r="E6" s="23" t="n">
        <v>0</v>
      </c>
      <c r="F6" s="23" t="n">
        <v>0</v>
      </c>
      <c r="G6" s="24">
        <f>SUM(B6:F6)</f>
        <v/>
      </c>
    </row>
    <row r="7">
      <c r="A7" s="39" t="inlineStr">
        <is>
          <t>Permits / design</t>
        </is>
      </c>
      <c r="B7" s="23">
        <f>-Summary!B15</f>
        <v/>
      </c>
      <c r="C7" s="23" t="n">
        <v>0</v>
      </c>
      <c r="D7" s="23" t="n">
        <v>0</v>
      </c>
      <c r="E7" s="23" t="n">
        <v>0</v>
      </c>
      <c r="F7" s="23" t="n">
        <v>0</v>
      </c>
      <c r="G7" s="24">
        <f>SUM(B7:F7)</f>
        <v/>
      </c>
    </row>
    <row r="8">
      <c r="A8" s="39" t="inlineStr">
        <is>
          <t>TIC legal / docs</t>
        </is>
      </c>
      <c r="B8" s="23">
        <f>-Summary!B16</f>
        <v/>
      </c>
      <c r="C8" s="23" t="n">
        <v>0</v>
      </c>
      <c r="D8" s="23" t="n">
        <v>0</v>
      </c>
      <c r="E8" s="23" t="n">
        <v>0</v>
      </c>
      <c r="F8" s="23" t="n">
        <v>0</v>
      </c>
      <c r="G8" s="24">
        <f>SUM(B8:F8)</f>
        <v/>
      </c>
    </row>
    <row r="9">
      <c r="A9" s="39" t="inlineStr">
        <is>
          <t>Rehab draws (1/3 each M1-M3)</t>
        </is>
      </c>
      <c r="B9" s="23" t="n">
        <v>0</v>
      </c>
      <c r="C9" s="23">
        <f>-Summary!B14/3</f>
        <v/>
      </c>
      <c r="D9" s="23">
        <f>-Summary!B14/3</f>
        <v/>
      </c>
      <c r="E9" s="23">
        <f>-Summary!B14/3</f>
        <v/>
      </c>
      <c r="F9" s="23" t="n">
        <v>0</v>
      </c>
      <c r="G9" s="24">
        <f>SUM(B9:F9)</f>
        <v/>
      </c>
    </row>
    <row r="10">
      <c r="A10" s="39" t="inlineStr">
        <is>
          <t>Carry (8.5% IO on deployed/mo)</t>
        </is>
      </c>
      <c r="B10" s="23" t="n">
        <v>0</v>
      </c>
      <c r="C10" s="23">
        <f>-Summary!B25*Summary!B12/12</f>
        <v/>
      </c>
      <c r="D10" s="23">
        <f>-Summary!B25*Summary!B12/12</f>
        <v/>
      </c>
      <c r="E10" s="23">
        <f>-Summary!B25*Summary!B12/12</f>
        <v/>
      </c>
      <c r="F10" s="23">
        <f>-Summary!B25*Summary!B12/12</f>
        <v/>
      </c>
      <c r="G10" s="24">
        <f>SUM(B10:F10)</f>
        <v/>
      </c>
    </row>
    <row r="11">
      <c r="A11" s="39" t="inlineStr">
        <is>
          <t>TIC sellout proceeds IN</t>
        </is>
      </c>
      <c r="B11" s="23" t="n">
        <v>0</v>
      </c>
      <c r="C11" s="23" t="n">
        <v>0</v>
      </c>
      <c r="D11" s="23" t="n">
        <v>0</v>
      </c>
      <c r="E11" s="23" t="n">
        <v>0</v>
      </c>
      <c r="F11" s="23">
        <f>Summary!B24</f>
        <v/>
      </c>
      <c r="G11" s="24">
        <f>SUM(B11:F11)</f>
        <v/>
      </c>
    </row>
    <row r="12">
      <c r="A12" s="39" t="inlineStr">
        <is>
          <t>Sale costs (4.5%) OUT</t>
        </is>
      </c>
      <c r="B12" s="23" t="n">
        <v>0</v>
      </c>
      <c r="C12" s="23" t="n">
        <v>0</v>
      </c>
      <c r="D12" s="23" t="n">
        <v>0</v>
      </c>
      <c r="E12" s="23" t="n">
        <v>0</v>
      </c>
      <c r="F12" s="23">
        <f>-Summary!B28</f>
        <v/>
      </c>
      <c r="G12" s="24">
        <f>SUM(B12:F12)</f>
        <v/>
      </c>
    </row>
    <row r="13">
      <c r="A13" s="39" t="inlineStr">
        <is>
          <t>Seller payout (base + share) OUT</t>
        </is>
      </c>
      <c r="B13" s="23" t="n">
        <v>0</v>
      </c>
      <c r="C13" s="23" t="n">
        <v>0</v>
      </c>
      <c r="D13" s="23" t="n">
        <v>0</v>
      </c>
      <c r="E13" s="23" t="n">
        <v>0</v>
      </c>
      <c r="F13" s="23">
        <f>-(Summary!B9+Summary!B30)</f>
        <v/>
      </c>
      <c r="G13" s="24">
        <f>SUM(B13:F13)</f>
        <v/>
      </c>
    </row>
    <row r="15">
      <c r="A15" s="38" t="inlineStr">
        <is>
          <t>NET CASH FLOW (month)</t>
        </is>
      </c>
      <c r="B15" s="36">
        <f>SUM(B6:B13)</f>
        <v/>
      </c>
      <c r="C15" s="36">
        <f>SUM(C6:C13)</f>
        <v/>
      </c>
      <c r="D15" s="36">
        <f>SUM(D6:D13)</f>
        <v/>
      </c>
      <c r="E15" s="36">
        <f>SUM(E6:E13)</f>
        <v/>
      </c>
      <c r="F15" s="36">
        <f>SUM(F6:F13)</f>
        <v/>
      </c>
      <c r="G15" s="22">
        <f>SUM(B15:F15)</f>
        <v/>
      </c>
    </row>
    <row r="16">
      <c r="A16" s="40" t="inlineStr">
        <is>
          <t>CUMULATIVE CASH POSITION</t>
        </is>
      </c>
      <c r="B16" s="41">
        <f>B15</f>
        <v/>
      </c>
      <c r="C16" s="41">
        <f>B16+C15</f>
        <v/>
      </c>
      <c r="D16" s="41">
        <f>C16+D15</f>
        <v/>
      </c>
      <c r="E16" s="41">
        <f>D16+E15</f>
        <v/>
      </c>
      <c r="F16" s="41">
        <f>E16+F15</f>
        <v/>
      </c>
      <c r="G16" s="48" t="inlineStr"/>
    </row>
    <row r="18">
      <c r="A18" s="14" t="inlineStr">
        <is>
          <t>James net profit (final cumulative @ M4 close)</t>
        </is>
      </c>
      <c r="B18" s="47">
        <f>F16</f>
        <v/>
      </c>
      <c r="D18" s="16" t="inlineStr">
        <is>
          <t>Ties to Proforma James PROFIT (cumulative cash = profit since James funded all costs).</t>
        </is>
      </c>
    </row>
  </sheetData>
  <mergeCells count="4">
    <mergeCell ref="D18:G18"/>
    <mergeCell ref="A2:G2"/>
    <mergeCell ref="A1:G1"/>
    <mergeCell ref="A4:G4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tabColor rgb="007A5C00"/>
    <outlinePr summaryBelow="1" summaryRight="1"/>
    <pageSetUpPr/>
  </sheetPr>
  <dimension ref="A1:F18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2" customWidth="1" min="1" max="1"/>
    <col width="15" customWidth="1" min="2" max="2"/>
    <col width="15" customWidth="1" min="3" max="3"/>
    <col width="15" customWidth="1" min="4" max="4"/>
    <col width="15" customWidth="1" min="5" max="5"/>
    <col width="4" customWidth="1" min="6" max="6"/>
  </cols>
  <sheetData>
    <row r="1" ht="30" customHeight="1">
      <c r="A1" s="1" t="inlineStr">
        <is>
          <t>Timing Sensitivity  -  Hold = 4 / 6 / 8 / 10 Months</t>
        </is>
      </c>
      <c r="B1" s="2" t="n"/>
      <c r="C1" s="2" t="n"/>
      <c r="D1" s="2" t="n"/>
      <c r="E1" s="2" t="n"/>
      <c r="F1" s="2" t="n"/>
    </row>
    <row r="2" ht="16" customHeight="1">
      <c r="A2" s="3" t="inlineStr">
        <is>
          <t>Same deal, longer hold = more carry on ~$280K deployed.  Base = $950/sf, seller base per Summary, 25% split.</t>
        </is>
      </c>
      <c r="B2" s="2" t="n"/>
      <c r="C2" s="2" t="n"/>
      <c r="D2" s="2" t="n"/>
      <c r="E2" s="2" t="n"/>
      <c r="F2" s="2" t="n"/>
    </row>
    <row r="4" ht="20" customHeight="1">
      <c r="A4" s="4" t="inlineStr">
        <is>
          <t>RETURNS BY HOLD LENGTH</t>
        </is>
      </c>
      <c r="B4" s="5" t="n"/>
      <c r="C4" s="5" t="n"/>
      <c r="D4" s="5" t="n"/>
      <c r="E4" s="5" t="n"/>
      <c r="F4" s="5" t="n"/>
    </row>
    <row r="5" ht="20" customHeight="1">
      <c r="A5" s="37" t="inlineStr">
        <is>
          <t>Metric</t>
        </is>
      </c>
      <c r="B5" s="20" t="inlineStr">
        <is>
          <t>4 months</t>
        </is>
      </c>
      <c r="C5" s="20" t="inlineStr">
        <is>
          <t>6 months</t>
        </is>
      </c>
      <c r="D5" s="20" t="inlineStr">
        <is>
          <t>8 months</t>
        </is>
      </c>
      <c r="E5" s="20" t="inlineStr">
        <is>
          <t>10 months</t>
        </is>
      </c>
    </row>
    <row r="6">
      <c r="A6" s="43" t="inlineStr">
        <is>
          <t>Hold (months)</t>
        </is>
      </c>
      <c r="B6" s="49" t="n">
        <v>4</v>
      </c>
      <c r="C6" s="49" t="n">
        <v>6</v>
      </c>
      <c r="D6" s="49" t="n">
        <v>8</v>
      </c>
      <c r="E6" s="49" t="n">
        <v>10</v>
      </c>
    </row>
    <row r="7">
      <c r="A7" s="43" t="inlineStr">
        <is>
          <t>Deployed cash</t>
        </is>
      </c>
      <c r="B7" s="23">
        <f>Summary!$B$25</f>
        <v/>
      </c>
      <c r="C7" s="23">
        <f>Summary!$B$25</f>
        <v/>
      </c>
      <c r="D7" s="23">
        <f>Summary!$B$25</f>
        <v/>
      </c>
      <c r="E7" s="23">
        <f>Summary!$B$25</f>
        <v/>
      </c>
    </row>
    <row r="8">
      <c r="A8" s="43" t="inlineStr">
        <is>
          <t>Carry (8.5% IO)</t>
        </is>
      </c>
      <c r="B8" s="23">
        <f>Summary!$B$25*Summary!$B$12*(B6/12)</f>
        <v/>
      </c>
      <c r="C8" s="23">
        <f>Summary!$B$25*Summary!$B$12*(C6/12)</f>
        <v/>
      </c>
      <c r="D8" s="23">
        <f>Summary!$B$25*Summary!$B$12*(D6/12)</f>
        <v/>
      </c>
      <c r="E8" s="23">
        <f>Summary!$B$25*Summary!$B$12*(E6/12)</f>
        <v/>
      </c>
    </row>
    <row r="9">
      <c r="A9" s="21" t="inlineStr">
        <is>
          <t>Total cash-in</t>
        </is>
      </c>
      <c r="B9" s="22">
        <f>Summary!$B$25+B8</f>
        <v/>
      </c>
      <c r="C9" s="22">
        <f>Summary!$B$25+C8</f>
        <v/>
      </c>
      <c r="D9" s="22">
        <f>Summary!$B$25+D8</f>
        <v/>
      </c>
      <c r="E9" s="22">
        <f>Summary!$B$25+E8</f>
        <v/>
      </c>
    </row>
    <row r="10">
      <c r="A10" s="43" t="inlineStr">
        <is>
          <t>Sale costs (4.5%)</t>
        </is>
      </c>
      <c r="B10" s="23">
        <f>Summary!$B$24*Summary!$B$13</f>
        <v/>
      </c>
      <c r="C10" s="23">
        <f>Summary!$B$24*Summary!$B$13</f>
        <v/>
      </c>
      <c r="D10" s="23">
        <f>Summary!$B$24*Summary!$B$13</f>
        <v/>
      </c>
      <c r="E10" s="23">
        <f>Summary!$B$24*Summary!$B$13</f>
        <v/>
      </c>
    </row>
    <row r="11">
      <c r="A11" s="43" t="inlineStr">
        <is>
          <t>Net profit pool</t>
        </is>
      </c>
      <c r="B11" s="23">
        <f>Summary!$B$24-Summary!$B$9-Summary!$B$14-Summary!$B$15-Summary!$B$16-Summary!$B$17-B10-B8</f>
        <v/>
      </c>
      <c r="C11" s="23">
        <f>Summary!$B$24-Summary!$B$9-Summary!$B$14-Summary!$B$15-Summary!$B$16-Summary!$B$17-C10-C8</f>
        <v/>
      </c>
      <c r="D11" s="23">
        <f>Summary!$B$24-Summary!$B$9-Summary!$B$14-Summary!$B$15-Summary!$B$16-Summary!$B$17-D10-D8</f>
        <v/>
      </c>
      <c r="E11" s="23">
        <f>Summary!$B$24-Summary!$B$9-Summary!$B$14-Summary!$B$15-Summary!$B$16-Summary!$B$17-E10-E8</f>
        <v/>
      </c>
    </row>
    <row r="12">
      <c r="A12" s="21" t="inlineStr">
        <is>
          <t>James PROFIT</t>
        </is>
      </c>
      <c r="B12" s="46">
        <f>(1-Summary!$B$10)*B11</f>
        <v/>
      </c>
      <c r="C12" s="46">
        <f>(1-Summary!$B$10)*C11</f>
        <v/>
      </c>
      <c r="D12" s="46">
        <f>(1-Summary!$B$10)*D11</f>
        <v/>
      </c>
      <c r="E12" s="46">
        <f>(1-Summary!$B$10)*E11</f>
        <v/>
      </c>
    </row>
    <row r="13">
      <c r="A13" s="43" t="inlineStr">
        <is>
          <t>Seller total take</t>
        </is>
      </c>
      <c r="B13" s="23">
        <f>Summary!$B$9+Summary!$B$10*B11</f>
        <v/>
      </c>
      <c r="C13" s="23">
        <f>Summary!$B$9+Summary!$B$10*C11</f>
        <v/>
      </c>
      <c r="D13" s="23">
        <f>Summary!$B$9+Summary!$B$10*D11</f>
        <v/>
      </c>
      <c r="E13" s="23">
        <f>Summary!$B$9+Summary!$B$10*E11</f>
        <v/>
      </c>
    </row>
    <row r="14">
      <c r="A14" s="43" t="inlineStr">
        <is>
          <t>Cash-on-cash</t>
        </is>
      </c>
      <c r="B14" s="26">
        <f>B12/B9</f>
        <v/>
      </c>
      <c r="C14" s="26">
        <f>C12/C9</f>
        <v/>
      </c>
      <c r="D14" s="26">
        <f>D12/D9</f>
        <v/>
      </c>
      <c r="E14" s="26">
        <f>E12/E9</f>
        <v/>
      </c>
    </row>
    <row r="15">
      <c r="A15" s="21" t="inlineStr">
        <is>
          <t>Annualized return</t>
        </is>
      </c>
      <c r="B15" s="25">
        <f>(B12/B9)*(12/B6)</f>
        <v/>
      </c>
      <c r="C15" s="25">
        <f>(C12/C9)*(12/C6)</f>
        <v/>
      </c>
      <c r="D15" s="25">
        <f>(D12/D9)*(12/D6)</f>
        <v/>
      </c>
      <c r="E15" s="25">
        <f>(E12/E9)*(12/E6)</f>
        <v/>
      </c>
    </row>
    <row r="16">
      <c r="A16" s="43" t="inlineStr">
        <is>
          <t>Equity multiple</t>
        </is>
      </c>
      <c r="B16" s="29">
        <f>(B9+B12)/B9</f>
        <v/>
      </c>
      <c r="C16" s="29">
        <f>(C9+C12)/C9</f>
        <v/>
      </c>
      <c r="D16" s="29">
        <f>(D9+D12)/D9</f>
        <v/>
      </c>
      <c r="E16" s="29">
        <f>(E9+E12)/E9</f>
        <v/>
      </c>
    </row>
    <row r="18" ht="28" customHeight="1">
      <c r="A18" s="31" t="inlineStr">
        <is>
          <t>Note: in the option route carry is only on ~$280K deployed (not the $1.495M purchase), so each extra 2 months trims James profit by only ~$3-4K.</t>
        </is>
      </c>
    </row>
  </sheetData>
  <mergeCells count="4">
    <mergeCell ref="A2:F2"/>
    <mergeCell ref="A1:F1"/>
    <mergeCell ref="A18:F18"/>
    <mergeCell ref="A4:F4"/>
  </mergeCells>
  <pageMargins left="0.75" right="0.75" top="1" bottom="1" header="0.5" footer="0.5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tabColor rgb="008C3B00"/>
    <outlinePr summaryBelow="1" summaryRight="1"/>
    <pageSetUpPr/>
  </sheetPr>
  <dimension ref="A1:H27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4" customWidth="1" min="1" max="1"/>
    <col width="16" customWidth="1" min="2" max="2"/>
    <col width="16" customWidth="1" min="3" max="3"/>
    <col width="16" customWidth="1" min="4" max="4"/>
    <col width="16" customWidth="1" min="5" max="5"/>
    <col width="4" customWidth="1" min="6" max="6"/>
  </cols>
  <sheetData>
    <row r="1" ht="30" customHeight="1">
      <c r="A1" s="1" t="inlineStr">
        <is>
          <t>Sensitivity Grids</t>
        </is>
      </c>
      <c r="B1" s="2" t="n"/>
      <c r="C1" s="2" t="n"/>
      <c r="D1" s="2" t="n"/>
      <c r="E1" s="2" t="n"/>
      <c r="F1" s="2" t="n"/>
      <c r="G1" s="2" t="n"/>
      <c r="H1" s="2" t="n"/>
    </row>
    <row r="2" ht="16" customHeight="1">
      <c r="A2" s="3" t="inlineStr">
        <is>
          <t>Color scale red -&gt; green.  All grids recompute from Summary inputs (seller base toggle, costs, carry).  Rows = TIC $/sf.</t>
        </is>
      </c>
      <c r="B2" s="2" t="n"/>
      <c r="C2" s="2" t="n"/>
      <c r="D2" s="2" t="n"/>
      <c r="E2" s="2" t="n"/>
      <c r="F2" s="2" t="n"/>
      <c r="G2" s="2" t="n"/>
      <c r="H2" s="2" t="n"/>
    </row>
    <row r="4" ht="20" customHeight="1">
      <c r="A4" s="4" t="inlineStr">
        <is>
          <t>(a)  JAMES PROFIT   -   rows TIC $/sf  x  cols Seller split %</t>
        </is>
      </c>
      <c r="B4" s="5" t="n"/>
      <c r="C4" s="5" t="n"/>
      <c r="D4" s="5" t="n"/>
      <c r="E4" s="5" t="n"/>
    </row>
    <row r="5">
      <c r="A5" s="20" t="inlineStr">
        <is>
          <t>TIC $/sf  \  Seller split %</t>
        </is>
      </c>
      <c r="B5" s="50" t="n">
        <v>0.2</v>
      </c>
      <c r="C5" s="50" t="n">
        <v>0.25</v>
      </c>
      <c r="D5" s="50" t="n">
        <v>0.3</v>
      </c>
      <c r="E5" s="50" t="n">
        <v>0.35</v>
      </c>
    </row>
    <row r="6">
      <c r="A6" s="51" t="n">
        <v>900</v>
      </c>
      <c r="B6" s="24">
        <f>(1-0.2)*((900*Summary!$B$7*Summary!$B$8)-Summary!$B$9-Summary!$B$14-Summary!$B$15-Summary!$B$16-Summary!$B$17-((900*Summary!$B$7*Summary!$B$8)*Summary!$B$13)-(Summary!$B$25*Summary!$B$12*(Summary!$B$11/12)))</f>
        <v/>
      </c>
      <c r="C6" s="24">
        <f>(1-0.25)*((900*Summary!$B$7*Summary!$B$8)-Summary!$B$9-Summary!$B$14-Summary!$B$15-Summary!$B$16-Summary!$B$17-((900*Summary!$B$7*Summary!$B$8)*Summary!$B$13)-(Summary!$B$25*Summary!$B$12*(Summary!$B$11/12)))</f>
        <v/>
      </c>
      <c r="D6" s="24">
        <f>(1-0.3)*((900*Summary!$B$7*Summary!$B$8)-Summary!$B$9-Summary!$B$14-Summary!$B$15-Summary!$B$16-Summary!$B$17-((900*Summary!$B$7*Summary!$B$8)*Summary!$B$13)-(Summary!$B$25*Summary!$B$12*(Summary!$B$11/12)))</f>
        <v/>
      </c>
      <c r="E6" s="24">
        <f>(1-0.35)*((900*Summary!$B$7*Summary!$B$8)-Summary!$B$9-Summary!$B$14-Summary!$B$15-Summary!$B$16-Summary!$B$17-((900*Summary!$B$7*Summary!$B$8)*Summary!$B$13)-(Summary!$B$25*Summary!$B$12*(Summary!$B$11/12)))</f>
        <v/>
      </c>
    </row>
    <row r="7">
      <c r="A7" s="51" t="n">
        <v>950</v>
      </c>
      <c r="B7" s="24">
        <f>(1-0.2)*((950*Summary!$B$7*Summary!$B$8)-Summary!$B$9-Summary!$B$14-Summary!$B$15-Summary!$B$16-Summary!$B$17-((950*Summary!$B$7*Summary!$B$8)*Summary!$B$13)-(Summary!$B$25*Summary!$B$12*(Summary!$B$11/12)))</f>
        <v/>
      </c>
      <c r="C7" s="24">
        <f>(1-0.25)*((950*Summary!$B$7*Summary!$B$8)-Summary!$B$9-Summary!$B$14-Summary!$B$15-Summary!$B$16-Summary!$B$17-((950*Summary!$B$7*Summary!$B$8)*Summary!$B$13)-(Summary!$B$25*Summary!$B$12*(Summary!$B$11/12)))</f>
        <v/>
      </c>
      <c r="D7" s="24">
        <f>(1-0.3)*((950*Summary!$B$7*Summary!$B$8)-Summary!$B$9-Summary!$B$14-Summary!$B$15-Summary!$B$16-Summary!$B$17-((950*Summary!$B$7*Summary!$B$8)*Summary!$B$13)-(Summary!$B$25*Summary!$B$12*(Summary!$B$11/12)))</f>
        <v/>
      </c>
      <c r="E7" s="24">
        <f>(1-0.35)*((950*Summary!$B$7*Summary!$B$8)-Summary!$B$9-Summary!$B$14-Summary!$B$15-Summary!$B$16-Summary!$B$17-((950*Summary!$B$7*Summary!$B$8)*Summary!$B$13)-(Summary!$B$25*Summary!$B$12*(Summary!$B$11/12)))</f>
        <v/>
      </c>
    </row>
    <row r="8">
      <c r="A8" s="51" t="n">
        <v>1000</v>
      </c>
      <c r="B8" s="24">
        <f>(1-0.2)*((1000*Summary!$B$7*Summary!$B$8)-Summary!$B$9-Summary!$B$14-Summary!$B$15-Summary!$B$16-Summary!$B$17-((1000*Summary!$B$7*Summary!$B$8)*Summary!$B$13)-(Summary!$B$25*Summary!$B$12*(Summary!$B$11/12)))</f>
        <v/>
      </c>
      <c r="C8" s="24">
        <f>(1-0.25)*((1000*Summary!$B$7*Summary!$B$8)-Summary!$B$9-Summary!$B$14-Summary!$B$15-Summary!$B$16-Summary!$B$17-((1000*Summary!$B$7*Summary!$B$8)*Summary!$B$13)-(Summary!$B$25*Summary!$B$12*(Summary!$B$11/12)))</f>
        <v/>
      </c>
      <c r="D8" s="24">
        <f>(1-0.3)*((1000*Summary!$B$7*Summary!$B$8)-Summary!$B$9-Summary!$B$14-Summary!$B$15-Summary!$B$16-Summary!$B$17-((1000*Summary!$B$7*Summary!$B$8)*Summary!$B$13)-(Summary!$B$25*Summary!$B$12*(Summary!$B$11/12)))</f>
        <v/>
      </c>
      <c r="E8" s="24">
        <f>(1-0.35)*((1000*Summary!$B$7*Summary!$B$8)-Summary!$B$9-Summary!$B$14-Summary!$B$15-Summary!$B$16-Summary!$B$17-((1000*Summary!$B$7*Summary!$B$8)*Summary!$B$13)-(Summary!$B$25*Summary!$B$12*(Summary!$B$11/12)))</f>
        <v/>
      </c>
    </row>
    <row r="9">
      <c r="A9" s="51" t="n">
        <v>1075</v>
      </c>
      <c r="B9" s="24">
        <f>(1-0.2)*((1075*Summary!$B$7*Summary!$B$8)-Summary!$B$9-Summary!$B$14-Summary!$B$15-Summary!$B$16-Summary!$B$17-((1075*Summary!$B$7*Summary!$B$8)*Summary!$B$13)-(Summary!$B$25*Summary!$B$12*(Summary!$B$11/12)))</f>
        <v/>
      </c>
      <c r="C9" s="24">
        <f>(1-0.25)*((1075*Summary!$B$7*Summary!$B$8)-Summary!$B$9-Summary!$B$14-Summary!$B$15-Summary!$B$16-Summary!$B$17-((1075*Summary!$B$7*Summary!$B$8)*Summary!$B$13)-(Summary!$B$25*Summary!$B$12*(Summary!$B$11/12)))</f>
        <v/>
      </c>
      <c r="D9" s="24">
        <f>(1-0.3)*((1075*Summary!$B$7*Summary!$B$8)-Summary!$B$9-Summary!$B$14-Summary!$B$15-Summary!$B$16-Summary!$B$17-((1075*Summary!$B$7*Summary!$B$8)*Summary!$B$13)-(Summary!$B$25*Summary!$B$12*(Summary!$B$11/12)))</f>
        <v/>
      </c>
      <c r="E9" s="24">
        <f>(1-0.35)*((1075*Summary!$B$7*Summary!$B$8)-Summary!$B$9-Summary!$B$14-Summary!$B$15-Summary!$B$16-Summary!$B$17-((1075*Summary!$B$7*Summary!$B$8)*Summary!$B$13)-(Summary!$B$25*Summary!$B$12*(Summary!$B$11/12)))</f>
        <v/>
      </c>
    </row>
    <row r="12" ht="20" customHeight="1">
      <c r="A12" s="4" t="inlineStr">
        <is>
          <t>(b)  JAMES PROFIT   -   rows TIC $/sf  x  cols Hold months</t>
        </is>
      </c>
      <c r="B12" s="5" t="n"/>
      <c r="C12" s="5" t="n"/>
      <c r="D12" s="5" t="n"/>
      <c r="E12" s="5" t="n"/>
    </row>
    <row r="13">
      <c r="A13" s="20" t="inlineStr">
        <is>
          <t>TIC $/sf  \  Hold months</t>
        </is>
      </c>
      <c r="B13" s="52" t="n">
        <v>4</v>
      </c>
      <c r="C13" s="52" t="n">
        <v>6</v>
      </c>
      <c r="D13" s="52" t="n">
        <v>8</v>
      </c>
      <c r="E13" s="52" t="n">
        <v>10</v>
      </c>
    </row>
    <row r="14">
      <c r="A14" s="51" t="n">
        <v>900</v>
      </c>
      <c r="B14" s="24">
        <f>(1-Summary!$B$10)*((900*Summary!$B$7*Summary!$B$8)-Summary!$B$9-Summary!$B$14-Summary!$B$15-Summary!$B$16-Summary!$B$17-((900*Summary!$B$7*Summary!$B$8)*Summary!$B$13)-(Summary!$B$25*Summary!$B$12*(4/12)))</f>
        <v/>
      </c>
      <c r="C14" s="24">
        <f>(1-Summary!$B$10)*((900*Summary!$B$7*Summary!$B$8)-Summary!$B$9-Summary!$B$14-Summary!$B$15-Summary!$B$16-Summary!$B$17-((900*Summary!$B$7*Summary!$B$8)*Summary!$B$13)-(Summary!$B$25*Summary!$B$12*(6/12)))</f>
        <v/>
      </c>
      <c r="D14" s="24">
        <f>(1-Summary!$B$10)*((900*Summary!$B$7*Summary!$B$8)-Summary!$B$9-Summary!$B$14-Summary!$B$15-Summary!$B$16-Summary!$B$17-((900*Summary!$B$7*Summary!$B$8)*Summary!$B$13)-(Summary!$B$25*Summary!$B$12*(8/12)))</f>
        <v/>
      </c>
      <c r="E14" s="24">
        <f>(1-Summary!$B$10)*((900*Summary!$B$7*Summary!$B$8)-Summary!$B$9-Summary!$B$14-Summary!$B$15-Summary!$B$16-Summary!$B$17-((900*Summary!$B$7*Summary!$B$8)*Summary!$B$13)-(Summary!$B$25*Summary!$B$12*(10/12)))</f>
        <v/>
      </c>
    </row>
    <row r="15">
      <c r="A15" s="51" t="n">
        <v>950</v>
      </c>
      <c r="B15" s="24">
        <f>(1-Summary!$B$10)*((950*Summary!$B$7*Summary!$B$8)-Summary!$B$9-Summary!$B$14-Summary!$B$15-Summary!$B$16-Summary!$B$17-((950*Summary!$B$7*Summary!$B$8)*Summary!$B$13)-(Summary!$B$25*Summary!$B$12*(4/12)))</f>
        <v/>
      </c>
      <c r="C15" s="24">
        <f>(1-Summary!$B$10)*((950*Summary!$B$7*Summary!$B$8)-Summary!$B$9-Summary!$B$14-Summary!$B$15-Summary!$B$16-Summary!$B$17-((950*Summary!$B$7*Summary!$B$8)*Summary!$B$13)-(Summary!$B$25*Summary!$B$12*(6/12)))</f>
        <v/>
      </c>
      <c r="D15" s="24">
        <f>(1-Summary!$B$10)*((950*Summary!$B$7*Summary!$B$8)-Summary!$B$9-Summary!$B$14-Summary!$B$15-Summary!$B$16-Summary!$B$17-((950*Summary!$B$7*Summary!$B$8)*Summary!$B$13)-(Summary!$B$25*Summary!$B$12*(8/12)))</f>
        <v/>
      </c>
      <c r="E15" s="24">
        <f>(1-Summary!$B$10)*((950*Summary!$B$7*Summary!$B$8)-Summary!$B$9-Summary!$B$14-Summary!$B$15-Summary!$B$16-Summary!$B$17-((950*Summary!$B$7*Summary!$B$8)*Summary!$B$13)-(Summary!$B$25*Summary!$B$12*(10/12)))</f>
        <v/>
      </c>
    </row>
    <row r="16">
      <c r="A16" s="51" t="n">
        <v>1000</v>
      </c>
      <c r="B16" s="24">
        <f>(1-Summary!$B$10)*((1000*Summary!$B$7*Summary!$B$8)-Summary!$B$9-Summary!$B$14-Summary!$B$15-Summary!$B$16-Summary!$B$17-((1000*Summary!$B$7*Summary!$B$8)*Summary!$B$13)-(Summary!$B$25*Summary!$B$12*(4/12)))</f>
        <v/>
      </c>
      <c r="C16" s="24">
        <f>(1-Summary!$B$10)*((1000*Summary!$B$7*Summary!$B$8)-Summary!$B$9-Summary!$B$14-Summary!$B$15-Summary!$B$16-Summary!$B$17-((1000*Summary!$B$7*Summary!$B$8)*Summary!$B$13)-(Summary!$B$25*Summary!$B$12*(6/12)))</f>
        <v/>
      </c>
      <c r="D16" s="24">
        <f>(1-Summary!$B$10)*((1000*Summary!$B$7*Summary!$B$8)-Summary!$B$9-Summary!$B$14-Summary!$B$15-Summary!$B$16-Summary!$B$17-((1000*Summary!$B$7*Summary!$B$8)*Summary!$B$13)-(Summary!$B$25*Summary!$B$12*(8/12)))</f>
        <v/>
      </c>
      <c r="E16" s="24">
        <f>(1-Summary!$B$10)*((1000*Summary!$B$7*Summary!$B$8)-Summary!$B$9-Summary!$B$14-Summary!$B$15-Summary!$B$16-Summary!$B$17-((1000*Summary!$B$7*Summary!$B$8)*Summary!$B$13)-(Summary!$B$25*Summary!$B$12*(10/12)))</f>
        <v/>
      </c>
    </row>
    <row r="17">
      <c r="A17" s="51" t="n">
        <v>1075</v>
      </c>
      <c r="B17" s="24">
        <f>(1-Summary!$B$10)*((1075*Summary!$B$7*Summary!$B$8)-Summary!$B$9-Summary!$B$14-Summary!$B$15-Summary!$B$16-Summary!$B$17-((1075*Summary!$B$7*Summary!$B$8)*Summary!$B$13)-(Summary!$B$25*Summary!$B$12*(4/12)))</f>
        <v/>
      </c>
      <c r="C17" s="24">
        <f>(1-Summary!$B$10)*((1075*Summary!$B$7*Summary!$B$8)-Summary!$B$9-Summary!$B$14-Summary!$B$15-Summary!$B$16-Summary!$B$17-((1075*Summary!$B$7*Summary!$B$8)*Summary!$B$13)-(Summary!$B$25*Summary!$B$12*(6/12)))</f>
        <v/>
      </c>
      <c r="D17" s="24">
        <f>(1-Summary!$B$10)*((1075*Summary!$B$7*Summary!$B$8)-Summary!$B$9-Summary!$B$14-Summary!$B$15-Summary!$B$16-Summary!$B$17-((1075*Summary!$B$7*Summary!$B$8)*Summary!$B$13)-(Summary!$B$25*Summary!$B$12*(8/12)))</f>
        <v/>
      </c>
      <c r="E17" s="24">
        <f>(1-Summary!$B$10)*((1075*Summary!$B$7*Summary!$B$8)-Summary!$B$9-Summary!$B$14-Summary!$B$15-Summary!$B$16-Summary!$B$17-((1075*Summary!$B$7*Summary!$B$8)*Summary!$B$13)-(Summary!$B$25*Summary!$B$12*(10/12)))</f>
        <v/>
      </c>
    </row>
    <row r="20" ht="20" customHeight="1">
      <c r="A20" s="4" t="inlineStr">
        <is>
          <t>(c)  SELLER TOTAL TAKE   -   rows TIC $/sf  x  cols Seller split %</t>
        </is>
      </c>
      <c r="B20" s="5" t="n"/>
      <c r="C20" s="5" t="n"/>
      <c r="D20" s="5" t="n"/>
      <c r="E20" s="5" t="n"/>
    </row>
    <row r="21">
      <c r="A21" s="20" t="inlineStr">
        <is>
          <t>TIC $/sf  \  Seller split %</t>
        </is>
      </c>
      <c r="B21" s="50" t="n">
        <v>0.2</v>
      </c>
      <c r="C21" s="50" t="n">
        <v>0.25</v>
      </c>
      <c r="D21" s="50" t="n">
        <v>0.3</v>
      </c>
      <c r="E21" s="50" t="n">
        <v>0.35</v>
      </c>
    </row>
    <row r="22">
      <c r="A22" s="51" t="n">
        <v>900</v>
      </c>
      <c r="B22" s="24">
        <f>Summary!$B$9+0.2*((900*Summary!$B$7*Summary!$B$8)-Summary!$B$9-Summary!$B$14-Summary!$B$15-Summary!$B$16-Summary!$B$17-((900*Summary!$B$7*Summary!$B$8)*Summary!$B$13)-(Summary!$B$25*Summary!$B$12*(Summary!$B$11/12)))</f>
        <v/>
      </c>
      <c r="C22" s="24">
        <f>Summary!$B$9+0.25*((900*Summary!$B$7*Summary!$B$8)-Summary!$B$9-Summary!$B$14-Summary!$B$15-Summary!$B$16-Summary!$B$17-((900*Summary!$B$7*Summary!$B$8)*Summary!$B$13)-(Summary!$B$25*Summary!$B$12*(Summary!$B$11/12)))</f>
        <v/>
      </c>
      <c r="D22" s="24">
        <f>Summary!$B$9+0.3*((900*Summary!$B$7*Summary!$B$8)-Summary!$B$9-Summary!$B$14-Summary!$B$15-Summary!$B$16-Summary!$B$17-((900*Summary!$B$7*Summary!$B$8)*Summary!$B$13)-(Summary!$B$25*Summary!$B$12*(Summary!$B$11/12)))</f>
        <v/>
      </c>
      <c r="E22" s="24">
        <f>Summary!$B$9+0.35*((900*Summary!$B$7*Summary!$B$8)-Summary!$B$9-Summary!$B$14-Summary!$B$15-Summary!$B$16-Summary!$B$17-((900*Summary!$B$7*Summary!$B$8)*Summary!$B$13)-(Summary!$B$25*Summary!$B$12*(Summary!$B$11/12)))</f>
        <v/>
      </c>
    </row>
    <row r="23">
      <c r="A23" s="51" t="n">
        <v>950</v>
      </c>
      <c r="B23" s="24">
        <f>Summary!$B$9+0.2*((950*Summary!$B$7*Summary!$B$8)-Summary!$B$9-Summary!$B$14-Summary!$B$15-Summary!$B$16-Summary!$B$17-((950*Summary!$B$7*Summary!$B$8)*Summary!$B$13)-(Summary!$B$25*Summary!$B$12*(Summary!$B$11/12)))</f>
        <v/>
      </c>
      <c r="C23" s="24">
        <f>Summary!$B$9+0.25*((950*Summary!$B$7*Summary!$B$8)-Summary!$B$9-Summary!$B$14-Summary!$B$15-Summary!$B$16-Summary!$B$17-((950*Summary!$B$7*Summary!$B$8)*Summary!$B$13)-(Summary!$B$25*Summary!$B$12*(Summary!$B$11/12)))</f>
        <v/>
      </c>
      <c r="D23" s="24">
        <f>Summary!$B$9+0.3*((950*Summary!$B$7*Summary!$B$8)-Summary!$B$9-Summary!$B$14-Summary!$B$15-Summary!$B$16-Summary!$B$17-((950*Summary!$B$7*Summary!$B$8)*Summary!$B$13)-(Summary!$B$25*Summary!$B$12*(Summary!$B$11/12)))</f>
        <v/>
      </c>
      <c r="E23" s="24">
        <f>Summary!$B$9+0.35*((950*Summary!$B$7*Summary!$B$8)-Summary!$B$9-Summary!$B$14-Summary!$B$15-Summary!$B$16-Summary!$B$17-((950*Summary!$B$7*Summary!$B$8)*Summary!$B$13)-(Summary!$B$25*Summary!$B$12*(Summary!$B$11/12)))</f>
        <v/>
      </c>
    </row>
    <row r="24">
      <c r="A24" s="51" t="n">
        <v>1000</v>
      </c>
      <c r="B24" s="24">
        <f>Summary!$B$9+0.2*((1000*Summary!$B$7*Summary!$B$8)-Summary!$B$9-Summary!$B$14-Summary!$B$15-Summary!$B$16-Summary!$B$17-((1000*Summary!$B$7*Summary!$B$8)*Summary!$B$13)-(Summary!$B$25*Summary!$B$12*(Summary!$B$11/12)))</f>
        <v/>
      </c>
      <c r="C24" s="24">
        <f>Summary!$B$9+0.25*((1000*Summary!$B$7*Summary!$B$8)-Summary!$B$9-Summary!$B$14-Summary!$B$15-Summary!$B$16-Summary!$B$17-((1000*Summary!$B$7*Summary!$B$8)*Summary!$B$13)-(Summary!$B$25*Summary!$B$12*(Summary!$B$11/12)))</f>
        <v/>
      </c>
      <c r="D24" s="24">
        <f>Summary!$B$9+0.3*((1000*Summary!$B$7*Summary!$B$8)-Summary!$B$9-Summary!$B$14-Summary!$B$15-Summary!$B$16-Summary!$B$17-((1000*Summary!$B$7*Summary!$B$8)*Summary!$B$13)-(Summary!$B$25*Summary!$B$12*(Summary!$B$11/12)))</f>
        <v/>
      </c>
      <c r="E24" s="24">
        <f>Summary!$B$9+0.35*((1000*Summary!$B$7*Summary!$B$8)-Summary!$B$9-Summary!$B$14-Summary!$B$15-Summary!$B$16-Summary!$B$17-((1000*Summary!$B$7*Summary!$B$8)*Summary!$B$13)-(Summary!$B$25*Summary!$B$12*(Summary!$B$11/12)))</f>
        <v/>
      </c>
    </row>
    <row r="25">
      <c r="A25" s="51" t="n">
        <v>1075</v>
      </c>
      <c r="B25" s="24">
        <f>Summary!$B$9+0.2*((1075*Summary!$B$7*Summary!$B$8)-Summary!$B$9-Summary!$B$14-Summary!$B$15-Summary!$B$16-Summary!$B$17-((1075*Summary!$B$7*Summary!$B$8)*Summary!$B$13)-(Summary!$B$25*Summary!$B$12*(Summary!$B$11/12)))</f>
        <v/>
      </c>
      <c r="C25" s="24">
        <f>Summary!$B$9+0.25*((1075*Summary!$B$7*Summary!$B$8)-Summary!$B$9-Summary!$B$14-Summary!$B$15-Summary!$B$16-Summary!$B$17-((1075*Summary!$B$7*Summary!$B$8)*Summary!$B$13)-(Summary!$B$25*Summary!$B$12*(Summary!$B$11/12)))</f>
        <v/>
      </c>
      <c r="D25" s="24">
        <f>Summary!$B$9+0.3*((1075*Summary!$B$7*Summary!$B$8)-Summary!$B$9-Summary!$B$14-Summary!$B$15-Summary!$B$16-Summary!$B$17-((1075*Summary!$B$7*Summary!$B$8)*Summary!$B$13)-(Summary!$B$25*Summary!$B$12*(Summary!$B$11/12)))</f>
        <v/>
      </c>
      <c r="E25" s="24">
        <f>Summary!$B$9+0.35*((1075*Summary!$B$7*Summary!$B$8)-Summary!$B$9-Summary!$B$14-Summary!$B$15-Summary!$B$16-Summary!$B$17-((1075*Summary!$B$7*Summary!$B$8)*Summary!$B$13)-(Summary!$B$25*Summary!$B$12*(Summary!$B$11/12)))</f>
        <v/>
      </c>
    </row>
    <row r="27" ht="26" customHeight="1">
      <c r="A27" s="31" t="inlineStr">
        <is>
          <t>Base case ($950/sf, 25% split, 4-mo) is the second data row of grid (a). Compare seller cells to ~$1.405M outright net.</t>
        </is>
      </c>
    </row>
  </sheetData>
  <mergeCells count="6">
    <mergeCell ref="A12:E12"/>
    <mergeCell ref="A4:E4"/>
    <mergeCell ref="A20:E20"/>
    <mergeCell ref="A2:H2"/>
    <mergeCell ref="A27:F27"/>
    <mergeCell ref="A1:H1"/>
  </mergeCells>
  <conditionalFormatting sqref="B6:E9">
    <cfRule type="colorScale" priority="1">
      <colorScale>
        <cfvo type="min"/>
        <cfvo type="percentile" val="50"/>
        <cfvo type="max"/>
        <color rgb="00F8696B"/>
        <color rgb="00FFEB84"/>
        <color rgb="0063BE7B"/>
      </colorScale>
    </cfRule>
  </conditionalFormatting>
  <conditionalFormatting sqref="B14:E17">
    <cfRule type="colorScale" priority="2">
      <colorScale>
        <cfvo type="min"/>
        <cfvo type="percentile" val="50"/>
        <cfvo type="max"/>
        <color rgb="00F8696B"/>
        <color rgb="00FFEB84"/>
        <color rgb="0063BE7B"/>
      </colorScale>
    </cfRule>
  </conditionalFormatting>
  <conditionalFormatting sqref="B22:E25">
    <cfRule type="colorScale" priority="3">
      <colorScale>
        <cfvo type="min"/>
        <cfvo type="percentile" val="50"/>
        <cfvo type="max"/>
        <color rgb="00F8696B"/>
        <color rgb="00FFEB84"/>
        <color rgb="0063BE7B"/>
      </colorScale>
    </cfRule>
  </conditionalFormatting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0F2E4F"/>
    <outlinePr summaryBelow="1" summaryRight="1"/>
    <pageSetUpPr/>
  </sheetPr>
  <dimension ref="A1:E20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38" customWidth="1" min="1" max="1"/>
    <col width="18" customWidth="1" min="2" max="2"/>
    <col width="3" customWidth="1" min="3" max="3"/>
    <col width="34" customWidth="1" min="4" max="4"/>
    <col width="18" customWidth="1" min="5" max="5"/>
  </cols>
  <sheetData>
    <row r="1" ht="30" customHeight="1">
      <c r="A1" s="1" t="inlineStr">
        <is>
          <t>Sources &amp; Uses  -  Double-Escrow Close</t>
        </is>
      </c>
      <c r="B1" s="2" t="n"/>
      <c r="C1" s="2" t="n"/>
      <c r="D1" s="2" t="n"/>
      <c r="E1" s="2" t="n"/>
    </row>
    <row r="2" ht="16" customHeight="1">
      <c r="A2" s="3" t="inlineStr">
        <is>
          <t>Investor-style S&amp;U at the back-end simultaneous (A-&gt;B-&gt;C) close.  Base case @ $950/sf.</t>
        </is>
      </c>
      <c r="B2" s="2" t="n"/>
      <c r="C2" s="2" t="n"/>
      <c r="D2" s="2" t="n"/>
      <c r="E2" s="2" t="n"/>
    </row>
    <row r="4" ht="20" customHeight="1">
      <c r="A4" s="4" t="inlineStr">
        <is>
          <t>USES OF FUNDS</t>
        </is>
      </c>
      <c r="B4" s="5" t="n"/>
      <c r="D4" s="4" t="inlineStr">
        <is>
          <t>SOURCES OF FUNDS</t>
        </is>
      </c>
      <c r="E4" s="5" t="n"/>
    </row>
    <row r="5">
      <c r="A5" s="37" t="inlineStr">
        <is>
          <t>Use</t>
        </is>
      </c>
      <c r="B5" s="20" t="inlineStr">
        <is>
          <t>Amount</t>
        </is>
      </c>
      <c r="D5" s="37" t="inlineStr">
        <is>
          <t>Source</t>
        </is>
      </c>
      <c r="E5" s="20" t="inlineStr">
        <is>
          <t>Amount</t>
        </is>
      </c>
    </row>
    <row r="6">
      <c r="A6" s="39" t="inlineStr">
        <is>
          <t>Seller base / strike payout</t>
        </is>
      </c>
      <c r="B6" s="23">
        <f>Summary!B9</f>
        <v/>
      </c>
      <c r="D6" s="39" t="inlineStr">
        <is>
          <t>James capital (deployed cash + carry)</t>
        </is>
      </c>
      <c r="E6" s="23">
        <f>Summary!B27</f>
        <v/>
      </c>
    </row>
    <row r="7">
      <c r="A7" s="39" t="inlineStr">
        <is>
          <t>Seller profit share</t>
        </is>
      </c>
      <c r="B7" s="23">
        <f>Summary!B30</f>
        <v/>
      </c>
      <c r="D7" s="39" t="inlineStr">
        <is>
          <t>End-buyer TIC proceeds at close</t>
        </is>
      </c>
      <c r="E7" s="23">
        <f>Summary!B24-Summary!B27</f>
        <v/>
      </c>
    </row>
    <row r="8">
      <c r="A8" s="39" t="inlineStr">
        <is>
          <t>Rehab</t>
        </is>
      </c>
      <c r="B8" s="23">
        <f>Summary!B14</f>
        <v/>
      </c>
      <c r="D8" s="40" t="inlineStr">
        <is>
          <t>TOTAL SOURCES</t>
        </is>
      </c>
      <c r="E8" s="41">
        <f>SUM(E6:E7)</f>
        <v/>
      </c>
    </row>
    <row r="9">
      <c r="A9" s="39" t="inlineStr">
        <is>
          <t>Permits / design</t>
        </is>
      </c>
      <c r="B9" s="23">
        <f>Summary!B15</f>
        <v/>
      </c>
    </row>
    <row r="10">
      <c r="A10" s="39" t="inlineStr">
        <is>
          <t>TIC legal / docs</t>
        </is>
      </c>
      <c r="B10" s="23">
        <f>Summary!B16</f>
        <v/>
      </c>
      <c r="D10" s="14" t="inlineStr">
        <is>
          <t>Balance check (Sources - Uses)</t>
        </is>
      </c>
      <c r="E10" s="22">
        <f>E8-B15</f>
        <v/>
      </c>
    </row>
    <row r="11">
      <c r="A11" s="39" t="inlineStr">
        <is>
          <t>Moving advance</t>
        </is>
      </c>
      <c r="B11" s="23">
        <f>Summary!B17</f>
        <v/>
      </c>
      <c r="D11" s="31" t="inlineStr">
        <is>
          <t>Ties to $0: total end-buyer proceeds (sellout) fund every use, INCLUDING James's profit as the residual spread. James's own deployed capital is recycled out of the proceeds.</t>
        </is>
      </c>
    </row>
    <row r="12">
      <c r="A12" s="39" t="inlineStr">
        <is>
          <t>Carry (financing cost)</t>
        </is>
      </c>
      <c r="B12" s="23">
        <f>Summary!B26</f>
        <v/>
      </c>
    </row>
    <row r="13">
      <c r="A13" s="39" t="inlineStr">
        <is>
          <t>Sale costs (commission + title/escrow)</t>
        </is>
      </c>
      <c r="B13" s="23">
        <f>Summary!B28</f>
        <v/>
      </c>
    </row>
    <row r="14">
      <c r="A14" s="45" t="inlineStr">
        <is>
          <t>James profit (residual / the spread)</t>
        </is>
      </c>
      <c r="B14" s="46">
        <f>Summary!B31</f>
        <v/>
      </c>
    </row>
    <row r="15">
      <c r="A15" s="40" t="inlineStr">
        <is>
          <t>TOTAL USES</t>
        </is>
      </c>
      <c r="B15" s="41">
        <f>SUM(B6:B14)</f>
        <v/>
      </c>
    </row>
    <row r="16" ht="20" customHeight="1">
      <c r="A16" s="4" t="inlineStr">
        <is>
          <t>JAMES ECONOMICS RECAP</t>
        </is>
      </c>
      <c r="B16" s="5" t="n"/>
    </row>
    <row r="17">
      <c r="A17" s="43" t="inlineStr">
        <is>
          <t>James cash deployed (at risk)</t>
        </is>
      </c>
      <c r="B17" s="22">
        <f>Summary!B27</f>
        <v/>
      </c>
    </row>
    <row r="18">
      <c r="A18" s="45" t="inlineStr">
        <is>
          <t>James profit at close</t>
        </is>
      </c>
      <c r="B18" s="46">
        <f>Summary!B31</f>
        <v/>
      </c>
    </row>
    <row r="19">
      <c r="A19" s="43" t="inlineStr">
        <is>
          <t>Cash-on-cash</t>
        </is>
      </c>
      <c r="B19" s="25">
        <f>Summary!B31/Summary!B27</f>
        <v/>
      </c>
    </row>
    <row r="20">
      <c r="A20" s="43" t="inlineStr">
        <is>
          <t>Annualized</t>
        </is>
      </c>
      <c r="B20" s="25">
        <f>(Summary!B31/Summary!B27)*(12/Summary!B11)</f>
        <v/>
      </c>
    </row>
  </sheetData>
  <mergeCells count="6">
    <mergeCell ref="A4:B4"/>
    <mergeCell ref="D11:E13"/>
    <mergeCell ref="A16:B16"/>
    <mergeCell ref="A2:E2"/>
    <mergeCell ref="A1:E1"/>
    <mergeCell ref="D4:E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2026-06-12T06:51:15Z</dcterms:created>
  <dcterms:modified xmlns:dcterms="http://purl.org/dc/terms/" xmlns:xsi="http://www.w3.org/2001/XMLSchema-instance" xsi:type="dcterms:W3CDTF">2026-06-12T06:51:15Z</dcterms:modified>
</cp:coreProperties>
</file>